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autoCompressPictures="0"/>
  <xr:revisionPtr revIDLastSave="0" documentId="13_ncr:1_{39F3351D-801C-4D97-B9C6-7E0E2240D6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očný kalendár" sheetId="1" r:id="rId1"/>
  </sheets>
  <definedNames>
    <definedName name="AprNed1">DATE(KalendárnyRok,4,1)-WEEKDAY(DATE(KalendárnyRok,4,1))+1</definedName>
    <definedName name="AugNed1">DATE(KalendárnyRok,8,1)-WEEKDAY(DATE(KalendárnyRok,8,1))+1</definedName>
    <definedName name="DecNed1">DATE(KalendárnyRok,12,1)-WEEKDAY(DATE(KalendárnyRok,12,1))+1</definedName>
    <definedName name="FebNed1">DATE(KalendárnyRok,2,1)-WEEKDAY(DATE(KalendárnyRok,2,1))+1</definedName>
    <definedName name="JanNed1">DATE(KalendárnyRok,1,1)-WEEKDAY(DATE(KalendárnyRok,1,1))+1</definedName>
    <definedName name="JúlNed1">DATE(KalendárnyRok,7,1)-WEEKDAY(DATE(KalendárnyRok,7,1))+1</definedName>
    <definedName name="JúnNed1">DATE(KalendárnyRok,6,1)-WEEKDAY(DATE(KalendárnyRok,6,1))+1</definedName>
    <definedName name="KalendárnyRok">'Ročný kalendár'!$C$1</definedName>
    <definedName name="MájNed1">DATE(KalendárnyRok,5,1)-WEEKDAY(DATE(KalendárnyRok,5,1))+1</definedName>
    <definedName name="MarNed1">DATE(KalendárnyRok,3,1)-WEEKDAY(DATE(KalendárnyRok,3,1))+1</definedName>
    <definedName name="NovNed1">DATE(KalendárnyRok,11,1)-WEEKDAY(DATE(KalendárnyRok,11,1))+1</definedName>
    <definedName name="_xlnm.Print_Area" localSheetId="0">'Ročný kalendár'!$B$1:$W$55</definedName>
    <definedName name="OktNed1">DATE(KalendárnyRok,10,1)-WEEKDAY(DATE(KalendárnyRok,10,1))+1</definedName>
    <definedName name="SepNed1">DATE(KalendárnyRok,9,1)-WEEKDAY(DATE(KalendárnyRok,9,1))+1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7" i="1" l="1"/>
  <c r="Q55" i="1" l="1"/>
  <c r="P55" i="1"/>
  <c r="O55" i="1"/>
  <c r="N55" i="1"/>
  <c r="M55" i="1"/>
  <c r="L55" i="1"/>
  <c r="K55" i="1"/>
  <c r="Q54" i="1"/>
  <c r="P54" i="1"/>
  <c r="O54" i="1"/>
  <c r="N54" i="1"/>
  <c r="M54" i="1"/>
  <c r="L54" i="1"/>
  <c r="K54" i="1"/>
  <c r="Q53" i="1"/>
  <c r="P53" i="1"/>
  <c r="O53" i="1"/>
  <c r="N53" i="1"/>
  <c r="M53" i="1"/>
  <c r="L53" i="1"/>
  <c r="K53" i="1"/>
  <c r="Q52" i="1"/>
  <c r="P52" i="1"/>
  <c r="O52" i="1"/>
  <c r="N52" i="1"/>
  <c r="M52" i="1"/>
  <c r="L52" i="1"/>
  <c r="K52" i="1"/>
  <c r="Q51" i="1"/>
  <c r="P51" i="1"/>
  <c r="O51" i="1"/>
  <c r="N51" i="1"/>
  <c r="M51" i="1"/>
  <c r="L51" i="1"/>
  <c r="K51" i="1"/>
  <c r="Q50" i="1"/>
  <c r="P50" i="1"/>
  <c r="O50" i="1"/>
  <c r="N50" i="1"/>
  <c r="M50" i="1"/>
  <c r="L50" i="1"/>
  <c r="K50" i="1"/>
  <c r="I55" i="1"/>
  <c r="H55" i="1"/>
  <c r="G55" i="1"/>
  <c r="F55" i="1"/>
  <c r="E55" i="1"/>
  <c r="D55" i="1"/>
  <c r="C55" i="1"/>
  <c r="I54" i="1"/>
  <c r="H54" i="1"/>
  <c r="G54" i="1"/>
  <c r="F54" i="1"/>
  <c r="E54" i="1"/>
  <c r="D54" i="1"/>
  <c r="C54" i="1"/>
  <c r="I53" i="1"/>
  <c r="H53" i="1"/>
  <c r="G53" i="1"/>
  <c r="F53" i="1"/>
  <c r="E53" i="1"/>
  <c r="D53" i="1"/>
  <c r="C53" i="1"/>
  <c r="I52" i="1"/>
  <c r="H52" i="1"/>
  <c r="G52" i="1"/>
  <c r="F52" i="1"/>
  <c r="E52" i="1"/>
  <c r="D52" i="1"/>
  <c r="C52" i="1"/>
  <c r="I51" i="1"/>
  <c r="H51" i="1"/>
  <c r="G51" i="1"/>
  <c r="F51" i="1"/>
  <c r="E51" i="1"/>
  <c r="D51" i="1"/>
  <c r="C51" i="1"/>
  <c r="I50" i="1"/>
  <c r="H50" i="1"/>
  <c r="G50" i="1"/>
  <c r="F50" i="1"/>
  <c r="E50" i="1"/>
  <c r="D50" i="1"/>
  <c r="C50" i="1"/>
  <c r="Q46" i="1"/>
  <c r="P46" i="1"/>
  <c r="O46" i="1"/>
  <c r="N46" i="1"/>
  <c r="M46" i="1"/>
  <c r="L46" i="1"/>
  <c r="K46" i="1"/>
  <c r="Q45" i="1"/>
  <c r="P45" i="1"/>
  <c r="O45" i="1"/>
  <c r="N45" i="1"/>
  <c r="M45" i="1"/>
  <c r="L45" i="1"/>
  <c r="K45" i="1"/>
  <c r="Q44" i="1"/>
  <c r="P44" i="1"/>
  <c r="O44" i="1"/>
  <c r="N44" i="1"/>
  <c r="M44" i="1"/>
  <c r="L44" i="1"/>
  <c r="K44" i="1"/>
  <c r="Q43" i="1"/>
  <c r="P43" i="1"/>
  <c r="O43" i="1"/>
  <c r="N43" i="1"/>
  <c r="M43" i="1"/>
  <c r="L43" i="1"/>
  <c r="K43" i="1"/>
  <c r="Q42" i="1"/>
  <c r="P42" i="1"/>
  <c r="O42" i="1"/>
  <c r="N42" i="1"/>
  <c r="M42" i="1"/>
  <c r="L42" i="1"/>
  <c r="K42" i="1"/>
  <c r="Q41" i="1"/>
  <c r="P41" i="1"/>
  <c r="O41" i="1"/>
  <c r="N41" i="1"/>
  <c r="M41" i="1"/>
  <c r="L41" i="1"/>
  <c r="K41" i="1"/>
  <c r="I46" i="1"/>
  <c r="H46" i="1"/>
  <c r="G46" i="1"/>
  <c r="F46" i="1"/>
  <c r="E46" i="1"/>
  <c r="D46" i="1"/>
  <c r="C46" i="1"/>
  <c r="I45" i="1"/>
  <c r="H45" i="1"/>
  <c r="G45" i="1"/>
  <c r="F45" i="1"/>
  <c r="E45" i="1"/>
  <c r="D45" i="1"/>
  <c r="C45" i="1"/>
  <c r="I44" i="1"/>
  <c r="H44" i="1"/>
  <c r="G44" i="1"/>
  <c r="F44" i="1"/>
  <c r="E44" i="1"/>
  <c r="D44" i="1"/>
  <c r="C44" i="1"/>
  <c r="I43" i="1"/>
  <c r="H43" i="1"/>
  <c r="G43" i="1"/>
  <c r="F43" i="1"/>
  <c r="E43" i="1"/>
  <c r="D43" i="1"/>
  <c r="C43" i="1"/>
  <c r="I42" i="1"/>
  <c r="H42" i="1"/>
  <c r="G42" i="1"/>
  <c r="F42" i="1"/>
  <c r="E42" i="1"/>
  <c r="D42" i="1"/>
  <c r="C42" i="1"/>
  <c r="I41" i="1"/>
  <c r="H41" i="1"/>
  <c r="G41" i="1"/>
  <c r="F41" i="1"/>
  <c r="E41" i="1"/>
  <c r="D41" i="1"/>
  <c r="C41" i="1"/>
  <c r="Q37" i="1"/>
  <c r="P37" i="1"/>
  <c r="O37" i="1"/>
  <c r="N37" i="1"/>
  <c r="M37" i="1"/>
  <c r="L37" i="1"/>
  <c r="K37" i="1"/>
  <c r="Q36" i="1"/>
  <c r="P36" i="1"/>
  <c r="O36" i="1"/>
  <c r="N36" i="1"/>
  <c r="M36" i="1"/>
  <c r="L36" i="1"/>
  <c r="K36" i="1"/>
  <c r="Q35" i="1"/>
  <c r="P35" i="1"/>
  <c r="O35" i="1"/>
  <c r="N35" i="1"/>
  <c r="M35" i="1"/>
  <c r="L35" i="1"/>
  <c r="K35" i="1"/>
  <c r="Q34" i="1"/>
  <c r="P34" i="1"/>
  <c r="O34" i="1"/>
  <c r="N34" i="1"/>
  <c r="M34" i="1"/>
  <c r="L34" i="1"/>
  <c r="K34" i="1"/>
  <c r="Q33" i="1"/>
  <c r="P33" i="1"/>
  <c r="O33" i="1"/>
  <c r="N33" i="1"/>
  <c r="M33" i="1"/>
  <c r="L33" i="1"/>
  <c r="K33" i="1"/>
  <c r="Q32" i="1"/>
  <c r="P32" i="1"/>
  <c r="O32" i="1"/>
  <c r="N32" i="1"/>
  <c r="M32" i="1"/>
  <c r="L32" i="1"/>
  <c r="K32" i="1"/>
  <c r="I37" i="1"/>
  <c r="H37" i="1"/>
  <c r="G37" i="1"/>
  <c r="F37" i="1"/>
  <c r="E37" i="1"/>
  <c r="D37" i="1"/>
  <c r="C37" i="1"/>
  <c r="I36" i="1"/>
  <c r="H36" i="1"/>
  <c r="G36" i="1"/>
  <c r="F36" i="1"/>
  <c r="E36" i="1"/>
  <c r="D36" i="1"/>
  <c r="C36" i="1"/>
  <c r="I35" i="1"/>
  <c r="H35" i="1"/>
  <c r="G35" i="1"/>
  <c r="F35" i="1"/>
  <c r="E35" i="1"/>
  <c r="D35" i="1"/>
  <c r="C35" i="1"/>
  <c r="I34" i="1"/>
  <c r="H34" i="1"/>
  <c r="G34" i="1"/>
  <c r="F34" i="1"/>
  <c r="E34" i="1"/>
  <c r="D34" i="1"/>
  <c r="C34" i="1"/>
  <c r="I33" i="1"/>
  <c r="H33" i="1"/>
  <c r="G33" i="1"/>
  <c r="F33" i="1"/>
  <c r="E33" i="1"/>
  <c r="D33" i="1"/>
  <c r="C33" i="1"/>
  <c r="I32" i="1"/>
  <c r="H32" i="1"/>
  <c r="G32" i="1"/>
  <c r="F32" i="1"/>
  <c r="E32" i="1"/>
  <c r="D32" i="1"/>
  <c r="C32" i="1"/>
  <c r="Q28" i="1"/>
  <c r="P28" i="1"/>
  <c r="O28" i="1"/>
  <c r="N28" i="1"/>
  <c r="M28" i="1"/>
  <c r="L28" i="1"/>
  <c r="K28" i="1"/>
  <c r="Q27" i="1"/>
  <c r="P27" i="1"/>
  <c r="O27" i="1"/>
  <c r="N27" i="1"/>
  <c r="M27" i="1"/>
  <c r="L27" i="1"/>
  <c r="K27" i="1"/>
  <c r="Q26" i="1"/>
  <c r="P26" i="1"/>
  <c r="O26" i="1"/>
  <c r="N26" i="1"/>
  <c r="M26" i="1"/>
  <c r="L26" i="1"/>
  <c r="K26" i="1"/>
  <c r="Q25" i="1"/>
  <c r="P25" i="1"/>
  <c r="O25" i="1"/>
  <c r="N25" i="1"/>
  <c r="M25" i="1"/>
  <c r="L25" i="1"/>
  <c r="K25" i="1"/>
  <c r="Q24" i="1"/>
  <c r="P24" i="1"/>
  <c r="O24" i="1"/>
  <c r="N24" i="1"/>
  <c r="M24" i="1"/>
  <c r="L24" i="1"/>
  <c r="K24" i="1"/>
  <c r="Q23" i="1"/>
  <c r="P23" i="1"/>
  <c r="O23" i="1"/>
  <c r="N23" i="1"/>
  <c r="M23" i="1"/>
  <c r="L23" i="1"/>
  <c r="K23" i="1"/>
  <c r="I28" i="1"/>
  <c r="H28" i="1"/>
  <c r="G28" i="1"/>
  <c r="F28" i="1"/>
  <c r="E28" i="1"/>
  <c r="D28" i="1"/>
  <c r="C28" i="1"/>
  <c r="I27" i="1"/>
  <c r="H27" i="1"/>
  <c r="G27" i="1"/>
  <c r="F27" i="1"/>
  <c r="E27" i="1"/>
  <c r="D27" i="1"/>
  <c r="C27" i="1"/>
  <c r="I26" i="1"/>
  <c r="H26" i="1"/>
  <c r="G26" i="1"/>
  <c r="F26" i="1"/>
  <c r="E26" i="1"/>
  <c r="D26" i="1"/>
  <c r="C26" i="1"/>
  <c r="I25" i="1"/>
  <c r="H25" i="1"/>
  <c r="G25" i="1"/>
  <c r="F25" i="1"/>
  <c r="E25" i="1"/>
  <c r="D25" i="1"/>
  <c r="C25" i="1"/>
  <c r="I24" i="1"/>
  <c r="H24" i="1"/>
  <c r="G24" i="1"/>
  <c r="F24" i="1"/>
  <c r="E24" i="1"/>
  <c r="D24" i="1"/>
  <c r="C24" i="1"/>
  <c r="I23" i="1"/>
  <c r="H23" i="1"/>
  <c r="G23" i="1"/>
  <c r="F23" i="1"/>
  <c r="E23" i="1"/>
  <c r="D23" i="1"/>
  <c r="C23" i="1"/>
  <c r="Q19" i="1"/>
  <c r="P19" i="1"/>
  <c r="O19" i="1"/>
  <c r="N19" i="1"/>
  <c r="M19" i="1"/>
  <c r="L19" i="1"/>
  <c r="K19" i="1"/>
  <c r="Q18" i="1"/>
  <c r="P18" i="1"/>
  <c r="O18" i="1"/>
  <c r="N18" i="1"/>
  <c r="M18" i="1"/>
  <c r="L18" i="1"/>
  <c r="K18" i="1"/>
  <c r="Q17" i="1"/>
  <c r="P17" i="1"/>
  <c r="O17" i="1"/>
  <c r="N17" i="1"/>
  <c r="M17" i="1"/>
  <c r="L17" i="1"/>
  <c r="K17" i="1"/>
  <c r="Q16" i="1"/>
  <c r="P16" i="1"/>
  <c r="O16" i="1"/>
  <c r="N16" i="1"/>
  <c r="M16" i="1"/>
  <c r="L16" i="1"/>
  <c r="K16" i="1"/>
  <c r="Q15" i="1"/>
  <c r="P15" i="1"/>
  <c r="O15" i="1"/>
  <c r="N15" i="1"/>
  <c r="M15" i="1"/>
  <c r="L15" i="1"/>
  <c r="K15" i="1"/>
  <c r="Q14" i="1"/>
  <c r="P14" i="1"/>
  <c r="O14" i="1"/>
  <c r="N14" i="1"/>
  <c r="M14" i="1"/>
  <c r="L14" i="1"/>
  <c r="K14" i="1"/>
  <c r="I19" i="1"/>
  <c r="H19" i="1"/>
  <c r="G19" i="1"/>
  <c r="F19" i="1"/>
  <c r="E19" i="1"/>
  <c r="D19" i="1"/>
  <c r="C19" i="1"/>
  <c r="I18" i="1"/>
  <c r="H18" i="1"/>
  <c r="G18" i="1"/>
  <c r="F18" i="1"/>
  <c r="E18" i="1"/>
  <c r="D18" i="1"/>
  <c r="C18" i="1"/>
  <c r="I17" i="1"/>
  <c r="H17" i="1"/>
  <c r="G17" i="1"/>
  <c r="F17" i="1"/>
  <c r="E17" i="1"/>
  <c r="D17" i="1"/>
  <c r="C17" i="1"/>
  <c r="I16" i="1"/>
  <c r="H16" i="1"/>
  <c r="G16" i="1"/>
  <c r="F16" i="1"/>
  <c r="E16" i="1"/>
  <c r="D16" i="1"/>
  <c r="C16" i="1"/>
  <c r="I15" i="1"/>
  <c r="H15" i="1"/>
  <c r="G15" i="1"/>
  <c r="F15" i="1"/>
  <c r="E15" i="1"/>
  <c r="D15" i="1"/>
  <c r="C15" i="1"/>
  <c r="I14" i="1"/>
  <c r="H14" i="1"/>
  <c r="G14" i="1"/>
  <c r="F14" i="1"/>
  <c r="E14" i="1"/>
  <c r="D14" i="1"/>
  <c r="C14" i="1"/>
  <c r="Q10" i="1"/>
  <c r="P10" i="1"/>
  <c r="O10" i="1"/>
  <c r="N10" i="1"/>
  <c r="M10" i="1"/>
  <c r="L10" i="1"/>
  <c r="K10" i="1"/>
  <c r="Q9" i="1"/>
  <c r="P9" i="1"/>
  <c r="O9" i="1"/>
  <c r="N9" i="1"/>
  <c r="M9" i="1"/>
  <c r="L9" i="1"/>
  <c r="K9" i="1"/>
  <c r="Q8" i="1"/>
  <c r="P8" i="1"/>
  <c r="O8" i="1"/>
  <c r="N8" i="1"/>
  <c r="M8" i="1"/>
  <c r="L8" i="1"/>
  <c r="K8" i="1"/>
  <c r="Q7" i="1"/>
  <c r="P7" i="1"/>
  <c r="O7" i="1"/>
  <c r="N7" i="1"/>
  <c r="M7" i="1"/>
  <c r="L7" i="1"/>
  <c r="K7" i="1"/>
  <c r="Q6" i="1"/>
  <c r="P6" i="1"/>
  <c r="O6" i="1"/>
  <c r="N6" i="1"/>
  <c r="M6" i="1"/>
  <c r="L6" i="1"/>
  <c r="K6" i="1"/>
  <c r="Q5" i="1"/>
  <c r="P5" i="1"/>
  <c r="O5" i="1"/>
  <c r="N5" i="1"/>
  <c r="M5" i="1"/>
  <c r="L5" i="1"/>
  <c r="K5" i="1"/>
  <c r="I10" i="1"/>
  <c r="H10" i="1"/>
  <c r="G10" i="1"/>
  <c r="F10" i="1"/>
  <c r="E10" i="1"/>
  <c r="D10" i="1"/>
  <c r="C10" i="1"/>
  <c r="I9" i="1"/>
  <c r="H9" i="1"/>
  <c r="G9" i="1"/>
  <c r="F9" i="1"/>
  <c r="E9" i="1"/>
  <c r="D9" i="1"/>
  <c r="C9" i="1"/>
  <c r="I8" i="1"/>
  <c r="H8" i="1"/>
  <c r="G8" i="1"/>
  <c r="F8" i="1"/>
  <c r="E8" i="1"/>
  <c r="D8" i="1"/>
  <c r="C8" i="1"/>
  <c r="I7" i="1"/>
  <c r="H7" i="1"/>
  <c r="F7" i="1"/>
  <c r="E7" i="1"/>
  <c r="D7" i="1"/>
  <c r="C7" i="1"/>
  <c r="I6" i="1"/>
  <c r="H6" i="1"/>
  <c r="G6" i="1"/>
  <c r="F6" i="1"/>
  <c r="E6" i="1"/>
  <c r="D6" i="1"/>
  <c r="C6" i="1"/>
  <c r="I5" i="1"/>
  <c r="H5" i="1"/>
  <c r="G5" i="1"/>
  <c r="F5" i="1"/>
  <c r="E5" i="1"/>
  <c r="D5" i="1"/>
  <c r="C5" i="1"/>
</calcChain>
</file>

<file path=xl/sharedStrings.xml><?xml version="1.0" encoding="utf-8"?>
<sst xmlns="http://schemas.openxmlformats.org/spreadsheetml/2006/main" count="158" uniqueCount="81">
  <si>
    <t>V tomto hárku môžete vytvoriť kalendár pre malý podnik na ľubovoľný rok. V bunkách v tomto stĺpci na nachádzajú užitočné pokyny na používanie tohto hárka. V bunke napravo vyberte číselník na zmenu roka v bunke C1. V bunke U1 je označenie Dôležité dátumy</t>
  </si>
  <si>
    <t>V bunke napravo sa nachádza tip.</t>
  </si>
  <si>
    <t>V bunkách C3 až Q55 je kalendár na vybratý rok, v bunkách C4 až I10 je kalendár na január a v bunkách K4 až Q10 je kalendár na február. V bunke C3 je označenie Január a v bunke K3 je označenie Február. Do buniek U3 až U42 zadajte dôležité dátumy a záležitosti.</t>
  </si>
  <si>
    <t>V bunkách C4 až I10 je tabuľka kalendára na január a v bunkách K4 až Q10 je tabuľka kalendára na február. V bunke A12 je ďalší pokyn.</t>
  </si>
  <si>
    <t>V bunke C12 je označenie Marec a v bunke K12 je označenie Apríl.</t>
  </si>
  <si>
    <t>V bunkách C13 až I19 je tabuľka kalendára na marec a v bunkách K13 až Q19 je tabuľka kalendára na apríl. V bunke A21 je ďalší pokyn.</t>
  </si>
  <si>
    <t>V bunke C12 je označenie Máj a v bunke K12 je označenie Jún.</t>
  </si>
  <si>
    <t>V bunkách C22 až I28 je tabuľka kalendára na máj a v bunkách K22 až Q28 je tabuľka kalendára na jún. V bunke A30 je ďalší pokyn.</t>
  </si>
  <si>
    <t>V bunke C30 je označenie Júl a v bunke K30 je označenie August.</t>
  </si>
  <si>
    <t>V bunkách C31 až I37 je tabuľka kalendára na júl a v bunkách K31 až Q37 je tabuľka kalendára na august. V bunke A39 je ďalší pokyn.</t>
  </si>
  <si>
    <t>V bunke C39 je označenie September a v bunke K39 je označenie Október.</t>
  </si>
  <si>
    <t>V bunkách C40 až I46 je tabuľka kalendára na september a v bunkách K40 až Q46 je tabuľka kalendára na október. V bunke A44 je ďalší pokyn.</t>
  </si>
  <si>
    <t>Do bunky U44 zadajte ulicu.</t>
  </si>
  <si>
    <t>Do bunky U45 zadajte PSČ a mesto. V bunke A47 je ďalší pokyn.</t>
  </si>
  <si>
    <t>Do bunky U47 zadajte telefónne číslo spoločnosti.</t>
  </si>
  <si>
    <t>V bunke C48 je označenie November a v bunke K48 je označenie December. Do bunky U48 zadajte e-mailovú adresu</t>
  </si>
  <si>
    <t>V bunkách C49 až I55 je tabuľka kalendára na november a v bunkách K49 až Q55 je tabuľka kalendára na december. V bunke A51 je ďalší pokyn.</t>
  </si>
  <si>
    <t>Do bunky U51 pridajte logo spoločnosti.</t>
  </si>
  <si>
    <t>JANUÁR</t>
  </si>
  <si>
    <t>PO</t>
  </si>
  <si>
    <t>MAREC</t>
  </si>
  <si>
    <t>MÁJ</t>
  </si>
  <si>
    <t>JÚL</t>
  </si>
  <si>
    <t>SEPTEMBER</t>
  </si>
  <si>
    <t>NOVEMBER</t>
  </si>
  <si>
    <t>UT</t>
  </si>
  <si>
    <t>ST</t>
  </si>
  <si>
    <t>ŠT</t>
  </si>
  <si>
    <t>PI</t>
  </si>
  <si>
    <t>SO</t>
  </si>
  <si>
    <t>NE</t>
  </si>
  <si>
    <t>FEBRUÁR</t>
  </si>
  <si>
    <t>APRÍL</t>
  </si>
  <si>
    <t>JÚN</t>
  </si>
  <si>
    <t>AUGUST</t>
  </si>
  <si>
    <t>OKTÓBER</t>
  </si>
  <si>
    <t>DECEMBER</t>
  </si>
  <si>
    <t>JANUÁR:  4, 19</t>
  </si>
  <si>
    <t>+</t>
  </si>
  <si>
    <t>FEBRUÁR: 2 , 16</t>
  </si>
  <si>
    <t>MAREC: 2, 16, 30</t>
  </si>
  <si>
    <t>APRÍL: 13, 27</t>
  </si>
  <si>
    <t>AUGUST: 3, 17, 31</t>
  </si>
  <si>
    <t>JÚL:  6, 20</t>
  </si>
  <si>
    <t>JÚN: 8, 22</t>
  </si>
  <si>
    <t>SEPTEMBER: 14, 28</t>
  </si>
  <si>
    <t>OKTÓBER: 12, 26</t>
  </si>
  <si>
    <t>NOVEMBER: 9, 23</t>
  </si>
  <si>
    <t>DECEMBER: 7, 21</t>
  </si>
  <si>
    <t>MÁJ: 11, 25</t>
  </si>
  <si>
    <t>JANUÁR 10</t>
  </si>
  <si>
    <t>FEBRUÁR 14</t>
  </si>
  <si>
    <t>MAREC 14</t>
  </si>
  <si>
    <t>APRÍL 18</t>
  </si>
  <si>
    <t>MÁJ 16</t>
  </si>
  <si>
    <t>JÚL 11</t>
  </si>
  <si>
    <t>AUGUST 15</t>
  </si>
  <si>
    <t>SEPTEMBER 12</t>
  </si>
  <si>
    <t>OKTÓBER 10</t>
  </si>
  <si>
    <t>NOVEMBER 14</t>
  </si>
  <si>
    <t>DECEMBER 12</t>
  </si>
  <si>
    <t>JANUÁR 11</t>
  </si>
  <si>
    <t>MAREC 1</t>
  </si>
  <si>
    <t>APRÍL 5</t>
  </si>
  <si>
    <t>MÁJ 5</t>
  </si>
  <si>
    <t>JÚL 12</t>
  </si>
  <si>
    <t>AUGUST 2</t>
  </si>
  <si>
    <t>SEPTEMBER 6</t>
  </si>
  <si>
    <t>OKTÓBER 4</t>
  </si>
  <si>
    <t>NOVEMBER 8</t>
  </si>
  <si>
    <t>DECEMBER 6</t>
  </si>
  <si>
    <t>FEBRUÁR 1</t>
  </si>
  <si>
    <t>DÔLEŽITÉ DÁTUMY - FONTOS DÁTUMOK</t>
  </si>
  <si>
    <t>JÚN 7</t>
  </si>
  <si>
    <t>Kommunális hulladék</t>
  </si>
  <si>
    <t xml:space="preserve">Odvoz komunálneho odpadu   </t>
  </si>
  <si>
    <t>Műanyag hulladék szedése</t>
  </si>
  <si>
    <t>PAPÍRGYűJTÉS</t>
  </si>
  <si>
    <t xml:space="preserve">Zber PAPIERA </t>
  </si>
  <si>
    <t xml:space="preserve">Zber PLASTU </t>
  </si>
  <si>
    <t>JÚN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</si>
</sst>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_(* #,##0_);_(* \(#,##0\);_(* &quot;-&quot;_);_(@_)"/>
    <numFmt numFmtId="165" formatCode="_(* #,##0.00_);_(* \(#,##0.00\);_(* &quot;-&quot;??_);_(@_)"/>
    <numFmt numFmtId="166" formatCode=";;;"/>
    <numFmt numFmtId="167" formatCode="d"/>
  </numFmts>
  <fonts count="46" x14ac:knownFonts="1">
    <font>
      <sz val="8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ajor"/>
    </font>
    <font>
      <b/>
      <sz val="26"/>
      <color theme="0"/>
      <name val="Calibri"/>
      <family val="2"/>
      <scheme val="major"/>
    </font>
    <font>
      <sz val="8"/>
      <color theme="0"/>
      <name val="Calibri"/>
      <family val="2"/>
      <scheme val="minor"/>
    </font>
    <font>
      <b/>
      <sz val="13.5"/>
      <color theme="0"/>
      <name val="Calibri"/>
      <family val="2"/>
      <scheme val="major"/>
    </font>
    <font>
      <sz val="9"/>
      <color theme="1"/>
      <name val="Calibri"/>
      <family val="2"/>
      <scheme val="minor"/>
    </font>
    <font>
      <sz val="8"/>
      <color theme="8"/>
      <name val="Calibri"/>
      <family val="2"/>
      <scheme val="minor"/>
    </font>
    <font>
      <sz val="9"/>
      <color theme="1" tint="0.14999847407452621"/>
      <name val="Calibri"/>
      <family val="2"/>
      <scheme val="minor"/>
    </font>
    <font>
      <i/>
      <sz val="10"/>
      <color theme="8" tint="-0.499984740745262"/>
      <name val="Calibri"/>
      <family val="2"/>
      <scheme val="minor"/>
    </font>
    <font>
      <b/>
      <sz val="8"/>
      <color theme="1" tint="0.34998626667073579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8"/>
      <color theme="3"/>
      <name val="Calibri"/>
      <family val="2"/>
      <scheme val="maj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  <font>
      <b/>
      <sz val="14"/>
      <color rgb="FF9C0006"/>
      <name val="Calibri"/>
      <family val="2"/>
      <charset val="238"/>
      <scheme val="minor"/>
    </font>
    <font>
      <b/>
      <sz val="16"/>
      <color rgb="FF9C0006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4"/>
      <color rgb="FF0061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ajor"/>
    </font>
    <font>
      <sz val="16"/>
      <color theme="1"/>
      <name val="Calibri"/>
      <family val="2"/>
      <scheme val="minor"/>
    </font>
    <font>
      <b/>
      <sz val="22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 tint="0.34998626667073579"/>
      <name val="Calibri"/>
      <family val="2"/>
      <charset val="238"/>
      <scheme val="minor"/>
    </font>
    <font>
      <b/>
      <sz val="12"/>
      <color theme="1" tint="0.34998626667073579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14" fillId="0" borderId="1" applyNumberFormat="0" applyFill="0" applyAlignment="0" applyProtection="0"/>
    <xf numFmtId="165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2" applyNumberFormat="0" applyFill="0" applyAlignment="0" applyProtection="0"/>
    <xf numFmtId="0" fontId="19" fillId="0" borderId="3" applyNumberFormat="0" applyFill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21" fillId="5" borderId="0" applyNumberFormat="0" applyBorder="0" applyAlignment="0" applyProtection="0"/>
    <xf numFmtId="0" fontId="22" fillId="6" borderId="0" applyNumberFormat="0" applyBorder="0" applyAlignment="0" applyProtection="0"/>
    <xf numFmtId="0" fontId="23" fillId="7" borderId="4" applyNumberFormat="0" applyAlignment="0" applyProtection="0"/>
    <xf numFmtId="0" fontId="24" fillId="8" borderId="5" applyNumberFormat="0" applyAlignment="0" applyProtection="0"/>
    <xf numFmtId="0" fontId="25" fillId="8" borderId="4" applyNumberFormat="0" applyAlignment="0" applyProtection="0"/>
    <xf numFmtId="0" fontId="26" fillId="0" borderId="6" applyNumberFormat="0" applyFill="0" applyAlignment="0" applyProtection="0"/>
    <xf numFmtId="0" fontId="27" fillId="9" borderId="7" applyNumberFormat="0" applyAlignment="0" applyProtection="0"/>
    <xf numFmtId="0" fontId="28" fillId="0" borderId="0" applyNumberFormat="0" applyFill="0" applyBorder="0" applyAlignment="0" applyProtection="0"/>
    <xf numFmtId="0" fontId="16" fillId="10" borderId="8" applyNumberFormat="0" applyFont="0" applyAlignment="0" applyProtection="0"/>
    <xf numFmtId="0" fontId="29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30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30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30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30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30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30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0" fillId="2" borderId="0" xfId="0" applyFill="1"/>
    <xf numFmtId="49" fontId="0" fillId="0" borderId="0" xfId="0" applyNumberFormat="1"/>
    <xf numFmtId="49" fontId="0" fillId="0" borderId="0" xfId="0" applyNumberFormat="1" applyAlignment="1">
      <alignment horizontal="left"/>
    </xf>
    <xf numFmtId="49" fontId="10" fillId="0" borderId="0" xfId="0" applyNumberFormat="1" applyFont="1" applyAlignment="1">
      <alignment horizontal="left"/>
    </xf>
    <xf numFmtId="0" fontId="9" fillId="0" borderId="0" xfId="0" applyFont="1"/>
    <xf numFmtId="49" fontId="11" fillId="0" borderId="0" xfId="0" applyNumberFormat="1" applyFont="1" applyAlignment="1">
      <alignment horizontal="left"/>
    </xf>
    <xf numFmtId="0" fontId="0" fillId="3" borderId="0" xfId="0" applyFill="1"/>
    <xf numFmtId="0" fontId="6" fillId="3" borderId="0" xfId="0" applyFont="1" applyFill="1" applyAlignment="1">
      <alignment vertical="center"/>
    </xf>
    <xf numFmtId="0" fontId="7" fillId="3" borderId="0" xfId="0" applyFont="1" applyFill="1"/>
    <xf numFmtId="0" fontId="8" fillId="3" borderId="0" xfId="0" applyFont="1" applyFill="1" applyAlignment="1">
      <alignment vertical="center"/>
    </xf>
    <xf numFmtId="0" fontId="13" fillId="0" borderId="0" xfId="0" applyFont="1" applyAlignment="1">
      <alignment horizontal="center"/>
    </xf>
    <xf numFmtId="166" fontId="0" fillId="0" borderId="0" xfId="0" applyNumberFormat="1" applyAlignment="1">
      <alignment wrapText="1"/>
    </xf>
    <xf numFmtId="166" fontId="3" fillId="0" borderId="0" xfId="0" applyNumberFormat="1" applyFont="1" applyAlignment="1">
      <alignment vertical="center"/>
    </xf>
    <xf numFmtId="166" fontId="0" fillId="0" borderId="0" xfId="0" applyNumberFormat="1"/>
    <xf numFmtId="0" fontId="12" fillId="0" borderId="0" xfId="0" applyFont="1" applyAlignment="1">
      <alignment horizontal="left" vertical="center" indent="2"/>
    </xf>
    <xf numFmtId="14" fontId="0" fillId="0" borderId="0" xfId="0" applyNumberFormat="1"/>
    <xf numFmtId="14" fontId="0" fillId="2" borderId="0" xfId="0" applyNumberFormat="1" applyFill="1"/>
    <xf numFmtId="166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0" xfId="0" applyNumberFormat="1"/>
    <xf numFmtId="49" fontId="21" fillId="5" borderId="0" xfId="12" applyNumberFormat="1" applyAlignment="1">
      <alignment horizontal="left"/>
    </xf>
    <xf numFmtId="0" fontId="31" fillId="0" borderId="0" xfId="0" applyFont="1" applyAlignment="1">
      <alignment horizontal="center"/>
    </xf>
    <xf numFmtId="167" fontId="32" fillId="5" borderId="0" xfId="12" applyNumberFormat="1" applyFont="1" applyAlignment="1">
      <alignment horizontal="center"/>
    </xf>
    <xf numFmtId="167" fontId="33" fillId="5" borderId="0" xfId="12" applyNumberFormat="1" applyFont="1" applyAlignment="1">
      <alignment horizontal="center"/>
    </xf>
    <xf numFmtId="167" fontId="34" fillId="0" borderId="0" xfId="0" applyNumberFormat="1" applyFont="1" applyAlignment="1">
      <alignment horizontal="center"/>
    </xf>
    <xf numFmtId="167" fontId="35" fillId="4" borderId="0" xfId="11" applyNumberFormat="1" applyFont="1" applyAlignment="1">
      <alignment horizontal="center"/>
    </xf>
    <xf numFmtId="167" fontId="36" fillId="15" borderId="0" xfId="27" applyNumberFormat="1" applyFont="1" applyAlignment="1">
      <alignment horizontal="center"/>
    </xf>
    <xf numFmtId="167" fontId="36" fillId="15" borderId="8" xfId="27" applyNumberFormat="1" applyFont="1" applyBorder="1" applyAlignment="1">
      <alignment horizontal="center"/>
    </xf>
    <xf numFmtId="167" fontId="37" fillId="15" borderId="0" xfId="27" applyNumberFormat="1" applyFont="1" applyAlignment="1">
      <alignment horizontal="center"/>
    </xf>
    <xf numFmtId="167" fontId="38" fillId="0" borderId="0" xfId="0" applyNumberFormat="1" applyFont="1" applyAlignment="1">
      <alignment horizontal="center"/>
    </xf>
    <xf numFmtId="167" fontId="4" fillId="0" borderId="0" xfId="0" applyNumberFormat="1" applyFont="1" applyAlignment="1">
      <alignment horizontal="center"/>
    </xf>
    <xf numFmtId="167" fontId="39" fillId="15" borderId="0" xfId="27" applyNumberFormat="1" applyFont="1" applyAlignment="1">
      <alignment horizontal="center"/>
    </xf>
    <xf numFmtId="167" fontId="39" fillId="5" borderId="0" xfId="12" applyNumberFormat="1" applyFont="1" applyAlignment="1">
      <alignment horizontal="center"/>
    </xf>
    <xf numFmtId="0" fontId="4" fillId="0" borderId="0" xfId="0" applyFont="1"/>
    <xf numFmtId="167" fontId="41" fillId="0" borderId="0" xfId="0" applyNumberFormat="1" applyFont="1" applyAlignment="1">
      <alignment horizontal="center"/>
    </xf>
    <xf numFmtId="0" fontId="41" fillId="0" borderId="0" xfId="0" applyFont="1"/>
    <xf numFmtId="0" fontId="42" fillId="3" borderId="0" xfId="0" applyFont="1" applyFill="1"/>
    <xf numFmtId="49" fontId="43" fillId="15" borderId="0" xfId="27" applyNumberFormat="1" applyFont="1" applyAlignment="1">
      <alignment horizontal="left"/>
    </xf>
    <xf numFmtId="49" fontId="36" fillId="5" borderId="0" xfId="12" applyNumberFormat="1" applyFont="1" applyAlignment="1">
      <alignment horizontal="left"/>
    </xf>
    <xf numFmtId="0" fontId="36" fillId="5" borderId="0" xfId="12" applyFont="1"/>
    <xf numFmtId="0" fontId="43" fillId="15" borderId="0" xfId="27" applyFont="1"/>
    <xf numFmtId="0" fontId="43" fillId="4" borderId="0" xfId="11" applyFont="1"/>
    <xf numFmtId="49" fontId="2" fillId="4" borderId="0" xfId="11" applyNumberFormat="1" applyFont="1" applyAlignment="1">
      <alignment horizontal="left"/>
    </xf>
    <xf numFmtId="49" fontId="43" fillId="4" borderId="0" xfId="11" applyNumberFormat="1" applyFont="1" applyAlignment="1">
      <alignment horizontal="left"/>
    </xf>
    <xf numFmtId="49" fontId="1" fillId="15" borderId="0" xfId="27" applyNumberFormat="1" applyFont="1" applyAlignment="1">
      <alignment horizontal="left"/>
    </xf>
    <xf numFmtId="49" fontId="1" fillId="15" borderId="0" xfId="27" applyNumberFormat="1" applyFont="1"/>
    <xf numFmtId="49" fontId="1" fillId="15" borderId="0" xfId="27" applyNumberFormat="1" applyFont="1" applyBorder="1"/>
    <xf numFmtId="0" fontId="44" fillId="0" borderId="0" xfId="0" applyFont="1" applyAlignment="1">
      <alignment horizontal="center"/>
    </xf>
    <xf numFmtId="0" fontId="45" fillId="0" borderId="0" xfId="0" applyFont="1" applyAlignment="1">
      <alignment horizontal="center"/>
    </xf>
    <xf numFmtId="0" fontId="40" fillId="0" borderId="0" xfId="0" applyFont="1" applyAlignment="1">
      <alignment horizontal="left"/>
    </xf>
    <xf numFmtId="0" fontId="6" fillId="3" borderId="0" xfId="0" applyFont="1" applyFill="1" applyAlignment="1">
      <alignment horizontal="left" vertical="center"/>
    </xf>
    <xf numFmtId="0" fontId="40" fillId="0" borderId="0" xfId="0" applyFont="1"/>
  </cellXfs>
  <cellStyles count="47">
    <cellStyle name="20 % - zvýraznenie1" xfId="24" builtinId="30" customBuiltin="1"/>
    <cellStyle name="20 % - zvýraznenie2" xfId="28" builtinId="34" customBuiltin="1"/>
    <cellStyle name="20 % - zvýraznenie3" xfId="32" builtinId="38" customBuiltin="1"/>
    <cellStyle name="20 % - zvýraznenie4" xfId="36" builtinId="42" customBuiltin="1"/>
    <cellStyle name="20 % - zvýraznenie5" xfId="40" builtinId="46" customBuiltin="1"/>
    <cellStyle name="20 % - zvýraznenie6" xfId="44" builtinId="50" customBuiltin="1"/>
    <cellStyle name="40 % - zvýraznenie1" xfId="25" builtinId="31" customBuiltin="1"/>
    <cellStyle name="40 % - zvýraznenie2" xfId="29" builtinId="35" customBuiltin="1"/>
    <cellStyle name="40 % - zvýraznenie3" xfId="33" builtinId="39" customBuiltin="1"/>
    <cellStyle name="40 % - zvýraznenie4" xfId="37" builtinId="43" customBuiltin="1"/>
    <cellStyle name="40 % - zvýraznenie5" xfId="41" builtinId="47" customBuiltin="1"/>
    <cellStyle name="40 % - zvýraznenie6" xfId="45" builtinId="51" customBuiltin="1"/>
    <cellStyle name="60 % - zvýraznenie1" xfId="26" builtinId="32" customBuiltin="1"/>
    <cellStyle name="60 % - zvýraznenie2" xfId="30" builtinId="36" customBuiltin="1"/>
    <cellStyle name="60 % - zvýraznenie3" xfId="34" builtinId="40" customBuiltin="1"/>
    <cellStyle name="60 % - zvýraznenie4" xfId="38" builtinId="44" customBuiltin="1"/>
    <cellStyle name="60 % - zvýraznenie5" xfId="42" builtinId="48" customBuiltin="1"/>
    <cellStyle name="60 % - zvýraznenie6" xfId="46" builtinId="52" customBuiltin="1"/>
    <cellStyle name="Čiarka" xfId="2" builtinId="3" customBuiltin="1"/>
    <cellStyle name="Čiarka [0]" xfId="3" builtinId="6" customBuiltin="1"/>
    <cellStyle name="Dobrá" xfId="11" builtinId="26" customBuiltin="1"/>
    <cellStyle name="Kontrolná bunka" xfId="18" builtinId="23" customBuiltin="1"/>
    <cellStyle name="Mena" xfId="4" builtinId="4" customBuiltin="1"/>
    <cellStyle name="Mena [0]" xfId="5" builtinId="7" customBuiltin="1"/>
    <cellStyle name="Nadpis 1" xfId="8" builtinId="16" customBuiltin="1"/>
    <cellStyle name="Nadpis 2" xfId="1" builtinId="17" customBuiltin="1"/>
    <cellStyle name="Nadpis 3" xfId="9" builtinId="18" customBuiltin="1"/>
    <cellStyle name="Nadpis 4" xfId="10" builtinId="19" customBuiltin="1"/>
    <cellStyle name="Názov" xfId="7" builtinId="15" customBuiltin="1"/>
    <cellStyle name="Neutrálna" xfId="13" builtinId="28" customBuiltin="1"/>
    <cellStyle name="Normálna" xfId="0" builtinId="0" customBuiltin="1"/>
    <cellStyle name="Percentá" xfId="6" builtinId="5" customBuiltin="1"/>
    <cellStyle name="Poznámka" xfId="20" builtinId="10" customBuiltin="1"/>
    <cellStyle name="Prepojená bunka" xfId="17" builtinId="24" customBuiltin="1"/>
    <cellStyle name="Spolu" xfId="22" builtinId="25" customBuiltin="1"/>
    <cellStyle name="Text upozornenia" xfId="19" builtinId="11" customBuiltin="1"/>
    <cellStyle name="Vstup" xfId="14" builtinId="20" customBuiltin="1"/>
    <cellStyle name="Výpočet" xfId="16" builtinId="22" customBuiltin="1"/>
    <cellStyle name="Výstup" xfId="15" builtinId="21" customBuiltin="1"/>
    <cellStyle name="Vysvetľujúci text" xfId="21" builtinId="53" customBuiltin="1"/>
    <cellStyle name="Zlá" xfId="12" builtinId="27" customBuiltin="1"/>
    <cellStyle name="Zvýraznenie1" xfId="23" builtinId="29" customBuiltin="1"/>
    <cellStyle name="Zvýraznenie2" xfId="27" builtinId="33" customBuiltin="1"/>
    <cellStyle name="Zvýraznenie3" xfId="31" builtinId="37" customBuiltin="1"/>
    <cellStyle name="Zvýraznenie4" xfId="35" builtinId="41" customBuiltin="1"/>
    <cellStyle name="Zvýraznenie5" xfId="39" builtinId="45" customBuiltin="1"/>
    <cellStyle name="Zvýraznenie6" xfId="43" builtinId="49" customBuiltin="1"/>
  </cellStyles>
  <dxfs count="108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7" formatCode="d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34998626667073579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Spin" dx="16" fmlaLink="$C$1" max="2999" min="1900" page="10" val="2023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161925</xdr:colOff>
      <xdr:row>4</xdr:row>
      <xdr:rowOff>171449</xdr:rowOff>
    </xdr:from>
    <xdr:to>
      <xdr:col>22</xdr:col>
      <xdr:colOff>714375</xdr:colOff>
      <xdr:row>47</xdr:row>
      <xdr:rowOff>238124</xdr:rowOff>
    </xdr:to>
    <xdr:pic>
      <xdr:nvPicPr>
        <xdr:cNvPr id="2" name="Listy" descr="Šesť listov umiestnených vo dvojiciach a jednotlivo v rôznych vzdialenostiach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24850" y="1304924"/>
          <a:ext cx="1085850" cy="852487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0</xdr:row>
          <xdr:rowOff>38100</xdr:rowOff>
        </xdr:from>
        <xdr:to>
          <xdr:col>2</xdr:col>
          <xdr:colOff>152400</xdr:colOff>
          <xdr:row>0</xdr:row>
          <xdr:rowOff>342900</xdr:rowOff>
        </xdr:to>
        <xdr:sp macro="" textlink="">
          <xdr:nvSpPr>
            <xdr:cNvPr id="1033" name="Číselník" descr="Zmeňte kalendárny rok pomocou číselníka alebo zadajte požadovaný rok do bunky C1.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1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46EB45C-792F-4720-AFFA-4773EA34D50B}" name="September" displayName="September" ref="C40:I46" totalsRowShown="0" headerRowDxfId="107" dataDxfId="106">
  <autoFilter ref="C40:I46" xr:uid="{7BD4247D-A8C8-4AE6-828F-1130997D9BB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AEE42E89-928C-4C22-A961-7E885A45822D}" name="PO" dataDxfId="105"/>
    <tableColumn id="2" xr3:uid="{AC077B57-4B5B-44D9-B680-1542FAA47835}" name="UT" dataDxfId="104"/>
    <tableColumn id="3" xr3:uid="{26C6390A-ED56-4389-921B-E823E3B142FA}" name="ST" dataDxfId="103"/>
    <tableColumn id="4" xr3:uid="{6297A621-248D-4715-936B-3C7C8FAC9F73}" name="ŠT" dataDxfId="102"/>
    <tableColumn id="5" xr3:uid="{65439D0F-0987-4361-AACE-888F0AD02F41}" name="PI" dataDxfId="101"/>
    <tableColumn id="6" xr3:uid="{001F5D5B-2CE2-4830-B87A-47310907E17B}" name="SO" dataDxfId="100"/>
    <tableColumn id="7" xr3:uid="{92559195-CB73-43D5-AD89-B537C8DAFB16}" name="NE" dataDxfId="99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september v tejto tabuľke sa automaticky aktualizuje názvami dní v týždni a dátumami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780AF45-5D0B-4D82-A104-EC33AB3AAABC}" name="Október" displayName="Október" ref="K40:Q46" totalsRowShown="0" headerRowDxfId="98" dataDxfId="97">
  <autoFilter ref="K40:Q46" xr:uid="{F5C87179-9167-449C-9551-AE5292621AB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9E83FF77-4BE3-4402-B310-F79BA1795D6B}" name="PO" dataDxfId="96"/>
    <tableColumn id="2" xr3:uid="{BC214BD9-B1AA-437E-9F2A-96512D1FC1EF}" name="UT" dataDxfId="95"/>
    <tableColumn id="3" xr3:uid="{DEF1622E-55E3-4D12-BCF7-2C2AD5CA979E}" name="ST" dataDxfId="94"/>
    <tableColumn id="4" xr3:uid="{F867F210-9EED-4C0D-8B37-DA1447D6A197}" name="ŠT" dataDxfId="93"/>
    <tableColumn id="5" xr3:uid="{CE9078E8-C980-4A0A-A8D3-2FD8424176E3}" name="PI" dataDxfId="92"/>
    <tableColumn id="6" xr3:uid="{515CFAB1-C4A6-417A-9486-443828202D84}" name="SO" dataDxfId="91"/>
    <tableColumn id="7" xr3:uid="{4B8E7248-85D1-4C1F-B418-3B6A982A7CFB}" name="NE" dataDxfId="90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október v tejto tabuľke sa automaticky aktualizuje názvami dní v týždni a dátumami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0A8A860-1B1C-477C-8F5B-037CA6D60998}" name="December" displayName="December" ref="K49:Q55" totalsRowShown="0" headerRowDxfId="89" dataDxfId="88">
  <autoFilter ref="K49:Q55" xr:uid="{AE48E127-E30D-4A27-8551-E2A886E83CB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57048C4D-C2DF-46BD-A5C9-B2C096C9FB62}" name="PO" dataDxfId="87"/>
    <tableColumn id="2" xr3:uid="{0B2EF454-81AB-4D52-AA3C-B690EE44D185}" name="UT" dataDxfId="86"/>
    <tableColumn id="3" xr3:uid="{330729B5-C644-4537-822D-A57AA2A6AFCB}" name="ST" dataDxfId="85"/>
    <tableColumn id="4" xr3:uid="{B075B448-2CB0-4CF8-8793-E5F852FB6BF4}" name="ŠT" dataDxfId="84"/>
    <tableColumn id="5" xr3:uid="{3DD95F2E-3155-449D-8E77-13FA75DB345D}" name="PI" dataDxfId="83"/>
    <tableColumn id="6" xr3:uid="{14159A6B-D249-4320-B25E-77E7CE8A7B70}" name="SO" dataDxfId="82"/>
    <tableColumn id="7" xr3:uid="{120B0F7F-66B4-43D6-A5A0-273402CB3A21}" name="NE" dataDxfId="81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december v tejto tabuľke sa automaticky aktualizuje názvami dní v týždni a dátumami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24D967C8-7081-403B-BA98-B9E5AE58E7CA}" name="November" displayName="November" ref="C49:I55" totalsRowShown="0" headerRowDxfId="80" dataDxfId="79">
  <autoFilter ref="C49:I55" xr:uid="{18BAEB8B-DB52-4501-B02D-A0E4349FAC3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FF91C006-42BC-4E2D-BF6A-BE6F37B8B800}" name="PO" dataDxfId="78"/>
    <tableColumn id="2" xr3:uid="{1938D43D-8FD5-4C3A-BBDE-168F7D05611A}" name="UT" dataDxfId="77"/>
    <tableColumn id="3" xr3:uid="{4842CF04-FF41-4DB4-969F-4FF7FB3902A6}" name="ST" dataDxfId="76"/>
    <tableColumn id="4" xr3:uid="{E599A265-8BBA-452F-8721-124F4941D44A}" name="ŠT" dataDxfId="75"/>
    <tableColumn id="5" xr3:uid="{503B45A2-4B8C-40CA-A557-BE247E21EBE0}" name="PI" dataDxfId="74"/>
    <tableColumn id="6" xr3:uid="{11596C05-FA11-4530-A6EA-61D3235356BC}" name="SO" dataDxfId="73"/>
    <tableColumn id="7" xr3:uid="{0AEE3C18-6495-4572-AF73-82B176FF576D}" name="NE" dataDxfId="72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november v tejto tabuľke sa automaticky aktualizuje názvami dní v týždni a dátumami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193C1060-32D3-4798-8C5C-D8EC60209D45}" name="August" displayName="August" ref="K31:Q37" totalsRowShown="0" headerRowDxfId="71" dataDxfId="70">
  <autoFilter ref="K31:Q37" xr:uid="{BF200729-0103-4A7A-9F1A-8C896181E4D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837ACFF2-D98C-4302-A4DC-B2CD7F51DBCB}" name="PO" dataDxfId="69"/>
    <tableColumn id="2" xr3:uid="{2ADFD18E-73CF-40C6-9E7E-AC4C740BC59D}" name="UT" dataDxfId="68"/>
    <tableColumn id="3" xr3:uid="{BBC74DA7-83A6-4D91-BF4B-5F328BDDADC6}" name="ST" dataDxfId="67"/>
    <tableColumn id="4" xr3:uid="{8C330E47-2E4D-412E-815A-0394E6AE9382}" name="ŠT" dataDxfId="66"/>
    <tableColumn id="5" xr3:uid="{7DE51A02-5E8E-45A2-8DAD-8BCA97881B5B}" name="PI" dataDxfId="65"/>
    <tableColumn id="6" xr3:uid="{F1DBB649-6704-4D40-9CEA-DF15F983A06C}" name="SO" dataDxfId="64"/>
    <tableColumn id="7" xr3:uid="{51A41C29-8B84-44D3-9FBF-8CFD330AE630}" name="NE" dataDxfId="63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august v tejto tabuľke sa automaticky aktualizuje názvami dní v týždni a dátumami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DF34819D-AB97-4F99-A0A0-D10139D84156}" name="Júl" displayName="Júl" ref="C31:I37" totalsRowShown="0" headerRowDxfId="62" dataDxfId="61">
  <autoFilter ref="C31:I37" xr:uid="{CE87FFBF-56D6-414D-8F19-D541DDAC9D5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7AC3573E-5603-40F0-BB61-A49AC0DCDC68}" name="PO" dataDxfId="60"/>
    <tableColumn id="2" xr3:uid="{568E5AFD-291F-45CA-83FA-D2B689223DA6}" name="UT" dataDxfId="59"/>
    <tableColumn id="3" xr3:uid="{C8C03194-1D08-49BA-A13F-C8057F21DCFD}" name="ST" dataDxfId="58"/>
    <tableColumn id="4" xr3:uid="{FA9F7A80-5142-4B66-A4DB-DD0C92AD12F8}" name="ŠT" dataDxfId="57"/>
    <tableColumn id="5" xr3:uid="{B161F7ED-ED60-4234-A636-5B7151552BEE}" name="PI" dataDxfId="56"/>
    <tableColumn id="6" xr3:uid="{B35D3CFE-C366-4BB1-8DB2-4AA956526C0F}" name="SO" dataDxfId="55"/>
    <tableColumn id="7" xr3:uid="{AE059A51-FD33-4417-8D42-3C2CFA91888E}" name="NE" dataDxfId="54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júl v tejto tabuľke sa automaticky aktualizuje názvami dní v týždni a dátumami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1B9987B7-53E6-4450-8C9D-39A47FFE4134}" name="Jún" displayName="Jún" ref="K22:Q28" totalsRowShown="0" headerRowDxfId="53" dataDxfId="52">
  <autoFilter ref="K22:Q28" xr:uid="{7057847F-74B8-4861-B2F4-DF1BEFB3609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B86102EA-1BCA-43D2-BF1B-CDC69B4F8D11}" name="PO" dataDxfId="51"/>
    <tableColumn id="2" xr3:uid="{C194C86A-B8C3-4374-966A-22BFA0B87048}" name="UT" dataDxfId="50"/>
    <tableColumn id="3" xr3:uid="{59B5196A-9902-475A-80A7-EFF51EFA062C}" name="ST" dataDxfId="49"/>
    <tableColumn id="4" xr3:uid="{40178AF9-C419-4535-8950-10F3AF777975}" name="ŠT" dataDxfId="48"/>
    <tableColumn id="5" xr3:uid="{BDB3553D-E653-45F5-90BF-B9941CEE517B}" name="PI" dataDxfId="47"/>
    <tableColumn id="6" xr3:uid="{C391E899-8C56-4F85-BC13-979EA10FF077}" name="SO" dataDxfId="46"/>
    <tableColumn id="7" xr3:uid="{AF6B7E0C-93D9-4615-ABA0-6086AA3DDB65}" name="NE" dataDxfId="45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jún v tejto tabuľke sa automaticky aktualizuje názvami dní v týždni a dátumami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D7944E7C-9B8A-4194-B034-46E5D0A26219}" name="Máj" displayName="Máj" ref="C22:I28" totalsRowShown="0" headerRowDxfId="44" dataDxfId="43">
  <autoFilter ref="C22:I28" xr:uid="{B526D7A0-2417-4315-B717-973C3BE43DF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A6AE9DEF-4B20-42DF-860F-E5FEA1931544}" name="PO" dataDxfId="42"/>
    <tableColumn id="2" xr3:uid="{0D18FAF9-1362-4AF0-B56F-782045BC6DB7}" name="UT" dataDxfId="41"/>
    <tableColumn id="3" xr3:uid="{8FBCF9B5-6CA8-4EB0-9DF9-D8F0F6F9C6BC}" name="ST" dataDxfId="40"/>
    <tableColumn id="4" xr3:uid="{4F7F0F7F-47CD-4FF1-9E35-1B24099D080C}" name="ŠT" dataDxfId="39"/>
    <tableColumn id="5" xr3:uid="{DF92B16F-6BC5-4BDE-98FB-CDC534ADD668}" name="PI" dataDxfId="38"/>
    <tableColumn id="6" xr3:uid="{D029CFB9-380E-45BB-8A4B-FA3072C21946}" name="SO" dataDxfId="37"/>
    <tableColumn id="7" xr3:uid="{478495E3-4C1A-4928-9264-BB651B96552E}" name="NE" dataDxfId="36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máj v tejto tabuľke sa automaticky aktualizuje názvami dní v týždni a dátumami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AB45672E-D812-4A32-A068-364BB71226F2}" name="Marec" displayName="Marec" ref="C13:I19" totalsRowShown="0" headerRowDxfId="35" dataDxfId="34">
  <autoFilter ref="C13:I19" xr:uid="{AF600F25-0571-4E74-8055-BF9579FE3A8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155D00B5-F11C-4847-A168-315955A9AFBB}" name="PO" dataDxfId="33"/>
    <tableColumn id="2" xr3:uid="{DD8FDA0B-3E4D-4BE5-ABD0-6A4A10D7346F}" name="UT" dataDxfId="32"/>
    <tableColumn id="3" xr3:uid="{525A03B4-FE60-4320-8824-28642BB0B1ED}" name="ST" dataDxfId="31"/>
    <tableColumn id="4" xr3:uid="{AFB9B421-9871-4103-9D22-CD1267615538}" name="ŠT" dataDxfId="30"/>
    <tableColumn id="5" xr3:uid="{F3F809D4-B280-4CB6-AD4F-5694D0CD7653}" name="PI" dataDxfId="29"/>
    <tableColumn id="6" xr3:uid="{43B35C36-7B34-4608-8FC7-292BFAB1A110}" name="SO" dataDxfId="28"/>
    <tableColumn id="7" xr3:uid="{2A162B00-2D10-4072-99A5-4D8A31ECAC84}" name="NE" dataDxfId="27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marec v tejto tabuľke sa automaticky aktualizuje názvami dní v týždni a dátumami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833229B8-1B88-4F1F-8FB4-DD09863B6B21}" name="Apríl" displayName="Apríl" ref="K13:Q19" totalsRowShown="0" headerRowDxfId="26" dataDxfId="25">
  <autoFilter ref="K13:Q19" xr:uid="{023AAA8B-599D-4DD7-9B47-299A3FFC00C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F3A3BA78-F866-4F30-BC39-936CFAEA815A}" name="PO" dataDxfId="24"/>
    <tableColumn id="2" xr3:uid="{0254C3C1-F1BB-40F1-A18F-21E91977EE53}" name="UT" dataDxfId="23"/>
    <tableColumn id="3" xr3:uid="{C7755A12-A0CC-4F60-93D4-C919836CA309}" name="ST" dataDxfId="22"/>
    <tableColumn id="4" xr3:uid="{82522450-2E91-46D3-B3E7-1AAB18C97CE5}" name="ŠT" dataDxfId="21"/>
    <tableColumn id="5" xr3:uid="{DFACDB8E-BE59-41D9-9E8B-38AB9BA5A92B}" name="PI" dataDxfId="20"/>
    <tableColumn id="6" xr3:uid="{64B8503A-65D1-4534-A8A1-DAE95B900A45}" name="SO" dataDxfId="19"/>
    <tableColumn id="7" xr3:uid="{65CD88A0-3D5F-46A0-8B33-E2CF40A9104A}" name="NE" dataDxfId="18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apríl v tejto tabuľke sa automaticky aktualizuje názvami dní v týždni a dátumami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A2AE65F-4F5F-4539-A5DC-D2140139BCE6}" name="Február" displayName="Február" ref="K4:Q10" totalsRowShown="0" headerRowDxfId="17" dataDxfId="16">
  <autoFilter ref="K4:Q10" xr:uid="{610DCB61-C9D8-4072-96BD-2D669E0FAB8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5C4C6C16-204E-44D5-B098-C9D229366098}" name="PO" dataDxfId="15"/>
    <tableColumn id="2" xr3:uid="{C6CD5C6F-CF91-4F35-B84B-AD12AA5267FB}" name="UT" dataDxfId="14"/>
    <tableColumn id="3" xr3:uid="{9BDA20AF-BB53-48D1-A451-57268ED65452}" name="ST" dataDxfId="13"/>
    <tableColumn id="4" xr3:uid="{3404FDF8-ACC1-45AC-8414-A54CCAEE5983}" name="ŠT" dataDxfId="12"/>
    <tableColumn id="5" xr3:uid="{B0CA7D5E-4DA5-48D4-9D32-CCEBB2B7C1D4}" name="PI" dataDxfId="11"/>
    <tableColumn id="6" xr3:uid="{0C197BE0-3C8D-4A05-9555-54A2049E1930}" name="SO" dataDxfId="10"/>
    <tableColumn id="7" xr3:uid="{9637FE45-D42A-4BDA-BFC9-5691C984419E}" name="NE" dataDxfId="9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február v tejto tabuľke sa automaticky aktualizuje názvami dní v týždni a dátumami 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F8AED6C3-3B40-48D6-848F-ECF430F4B778}" name="Január" displayName="Január" ref="C4:I10" totalsRowShown="0" headerRowDxfId="8" dataDxfId="7">
  <autoFilter ref="C4:I10" xr:uid="{88568651-C9EB-4E22-ADF8-AF307D60FB1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7D08E625-E389-49CD-A4F1-235667DDA1FB}" name="PO" dataDxfId="6"/>
    <tableColumn id="2" xr3:uid="{75530CFD-B4AD-4D7F-B600-AAB405F13F73}" name="UT" dataDxfId="5"/>
    <tableColumn id="3" xr3:uid="{FBE5DEA2-935E-4CDB-8F4B-6DA495232F54}" name="ST" dataDxfId="4"/>
    <tableColumn id="4" xr3:uid="{C3545009-9649-4B2D-9DF4-38AA968488C7}" name="ŠT" dataDxfId="3"/>
    <tableColumn id="5" xr3:uid="{66242A36-16C2-4785-B8BE-E7522FB57E7F}" name="PI" dataDxfId="2"/>
    <tableColumn id="6" xr3:uid="{0C7FC9B3-E733-414B-918A-07CAC4D1424B}" name="SO" dataDxfId="1"/>
    <tableColumn id="7" xr3:uid="{A966067F-058A-45AC-B3F6-BDEA651BC587}" name="NE" dataDxfId="0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Summary="Kalendár na január v tejto tabuľke sa automaticky aktualizuje názvami dní v týždni a dátumami"/>
    </ext>
  </extLst>
</table>
</file>

<file path=xl/theme/_rels/theme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Civic">
  <a:themeElements>
    <a:clrScheme name="Small Business Calendar 2">
      <a:dk1>
        <a:sysClr val="windowText" lastClr="000000"/>
      </a:dk1>
      <a:lt1>
        <a:sysClr val="window" lastClr="FFFFFF"/>
      </a:lt1>
      <a:dk2>
        <a:srgbClr val="646B86"/>
      </a:dk2>
      <a:lt2>
        <a:srgbClr val="C5D1D7"/>
      </a:lt2>
      <a:accent1>
        <a:srgbClr val="D16349"/>
      </a:accent1>
      <a:accent2>
        <a:srgbClr val="CCB400"/>
      </a:accent2>
      <a:accent3>
        <a:srgbClr val="8CADAE"/>
      </a:accent3>
      <a:accent4>
        <a:srgbClr val="8C7B70"/>
      </a:accent4>
      <a:accent5>
        <a:srgbClr val="8FB08C"/>
      </a:accent5>
      <a:accent6>
        <a:srgbClr val="D19049"/>
      </a:accent6>
      <a:hlink>
        <a:srgbClr val="8FB08C"/>
      </a:hlink>
      <a:folHlink>
        <a:srgbClr val="694F07"/>
      </a:folHlink>
    </a:clrScheme>
    <a:fontScheme name="Custom 2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Civic">
      <a:fillStyleLst>
        <a:solidFill>
          <a:schemeClr val="phClr"/>
        </a:solidFill>
        <a:solidFill>
          <a:schemeClr val="phClr">
            <a:tint val="45000"/>
          </a:schemeClr>
        </a:solidFill>
        <a:solidFill>
          <a:schemeClr val="phClr">
            <a:tint val="95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1429" cap="flat" cmpd="sng" algn="ctr">
          <a:solidFill>
            <a:schemeClr val="phClr"/>
          </a:solidFill>
          <a:prstDash val="sysDash"/>
        </a:ln>
        <a:ln w="200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254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contourW="9525" prstMaterial="matte">
            <a:bevelT w="0" h="0"/>
            <a:contourClr>
              <a:schemeClr val="phClr">
                <a:shade val="70000"/>
                <a:satMod val="105000"/>
              </a:schemeClr>
            </a:contourClr>
          </a:sp3d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soft" dir="b">
              <a:rot lat="0" lon="0" rev="0"/>
            </a:lightRig>
          </a:scene3d>
          <a:sp3d prstMaterial="dkEdge">
            <a:bevelT w="63500" h="63500" prst="cross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shade val="70000"/>
                <a:satMod val="115000"/>
              </a:schemeClr>
              <a:schemeClr val="phClr">
                <a:tint val="85000"/>
              </a:schemeClr>
            </a:duotone>
          </a:blip>
          <a:tile tx="0" ty="0" sx="85000" sy="85000" flip="none" algn="tl"/>
        </a:blipFill>
        <a:blipFill>
          <a:blip xmlns:r="http://schemas.openxmlformats.org/officeDocument/2006/relationships" r:embed="rId2">
            <a:duotone>
              <a:schemeClr val="phClr">
                <a:shade val="65000"/>
                <a:satMod val="115000"/>
              </a:schemeClr>
              <a:schemeClr val="phClr">
                <a:tint val="85000"/>
              </a:schemeClr>
            </a:duotone>
          </a:blip>
          <a:tile tx="0" ty="0" sx="65000" sy="65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.xml"/><Relationship Id="rId13" Type="http://schemas.openxmlformats.org/officeDocument/2006/relationships/table" Target="../tables/table9.xml"/><Relationship Id="rId3" Type="http://schemas.openxmlformats.org/officeDocument/2006/relationships/vmlDrawing" Target="../drawings/vmlDrawing1.vml"/><Relationship Id="rId7" Type="http://schemas.openxmlformats.org/officeDocument/2006/relationships/table" Target="../tables/table3.xml"/><Relationship Id="rId12" Type="http://schemas.openxmlformats.org/officeDocument/2006/relationships/table" Target="../tables/table8.xml"/><Relationship Id="rId2" Type="http://schemas.openxmlformats.org/officeDocument/2006/relationships/drawing" Target="../drawings/drawing1.xml"/><Relationship Id="rId16" Type="http://schemas.openxmlformats.org/officeDocument/2006/relationships/table" Target="../tables/table12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2.xml"/><Relationship Id="rId11" Type="http://schemas.openxmlformats.org/officeDocument/2006/relationships/table" Target="../tables/table7.xml"/><Relationship Id="rId5" Type="http://schemas.openxmlformats.org/officeDocument/2006/relationships/table" Target="../tables/table1.xml"/><Relationship Id="rId15" Type="http://schemas.openxmlformats.org/officeDocument/2006/relationships/table" Target="../tables/table11.xml"/><Relationship Id="rId10" Type="http://schemas.openxmlformats.org/officeDocument/2006/relationships/table" Target="../tables/table6.xml"/><Relationship Id="rId4" Type="http://schemas.openxmlformats.org/officeDocument/2006/relationships/ctrlProp" Target="../ctrlProps/ctrlProp1.xml"/><Relationship Id="rId9" Type="http://schemas.openxmlformats.org/officeDocument/2006/relationships/table" Target="../tables/table5.xml"/><Relationship Id="rId14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  <pageSetUpPr fitToPage="1"/>
  </sheetPr>
  <dimension ref="A1:AO69"/>
  <sheetViews>
    <sheetView showGridLines="0" tabSelected="1" zoomScaleNormal="100" workbookViewId="0">
      <selection activeCell="U10" sqref="U9:U10"/>
    </sheetView>
  </sheetViews>
  <sheetFormatPr defaultColWidth="9.5" defaultRowHeight="11.25" x14ac:dyDescent="0.2"/>
  <cols>
    <col min="1" max="1" width="2.5" style="16" customWidth="1"/>
    <col min="2" max="2" width="1.83203125" customWidth="1"/>
    <col min="3" max="3" width="6.83203125" customWidth="1"/>
    <col min="4" max="4" width="7.6640625" customWidth="1"/>
    <col min="5" max="5" width="6.5" customWidth="1"/>
    <col min="6" max="6" width="7.33203125" customWidth="1"/>
    <col min="7" max="7" width="6.83203125" customWidth="1"/>
    <col min="8" max="8" width="6" customWidth="1"/>
    <col min="9" max="9" width="6.5" customWidth="1"/>
    <col min="10" max="11" width="5" customWidth="1"/>
    <col min="12" max="12" width="5.33203125" customWidth="1"/>
    <col min="13" max="13" width="5" customWidth="1"/>
    <col min="14" max="14" width="5.33203125" customWidth="1"/>
    <col min="15" max="15" width="5.5" customWidth="1"/>
    <col min="16" max="16" width="5" customWidth="1"/>
    <col min="17" max="17" width="5.5" customWidth="1"/>
    <col min="18" max="18" width="2.1640625" customWidth="1"/>
    <col min="19" max="19" width="1.1640625" customWidth="1"/>
    <col min="20" max="20" width="3.83203125" customWidth="1"/>
    <col min="21" max="21" width="42" customWidth="1"/>
    <col min="22" max="22" width="9.33203125" customWidth="1"/>
    <col min="23" max="23" width="13.5" customWidth="1"/>
    <col min="24" max="24" width="2.83203125" customWidth="1"/>
    <col min="25" max="43" width="9.33203125" customWidth="1"/>
    <col min="44" max="44" width="9.5" customWidth="1"/>
  </cols>
  <sheetData>
    <row r="1" spans="1:41" ht="30" customHeight="1" x14ac:dyDescent="0.45">
      <c r="A1" s="14" t="s">
        <v>0</v>
      </c>
      <c r="B1" s="9"/>
      <c r="C1" s="53">
        <v>2023</v>
      </c>
      <c r="D1" s="53"/>
      <c r="E1" s="53"/>
      <c r="F1" s="53"/>
      <c r="G1" s="10"/>
      <c r="H1" s="11"/>
      <c r="I1" s="39" t="s">
        <v>72</v>
      </c>
      <c r="J1" s="11"/>
      <c r="K1" s="11"/>
      <c r="L1" s="11"/>
      <c r="M1" s="11"/>
      <c r="N1" s="11"/>
      <c r="O1" s="11"/>
      <c r="P1" s="11"/>
      <c r="Q1" s="11"/>
      <c r="R1" s="11"/>
      <c r="S1" s="9"/>
      <c r="T1" s="9"/>
      <c r="U1" s="12"/>
      <c r="V1" s="9"/>
      <c r="W1" s="9"/>
    </row>
    <row r="2" spans="1:41" ht="21" customHeight="1" x14ac:dyDescent="0.2">
      <c r="A2" s="15" t="s">
        <v>1</v>
      </c>
      <c r="B2" s="17"/>
      <c r="C2" s="17"/>
      <c r="D2" s="17"/>
      <c r="E2" s="17"/>
      <c r="F2" s="17"/>
      <c r="G2" s="17"/>
      <c r="H2" s="17"/>
      <c r="I2" s="17"/>
      <c r="J2" s="17"/>
      <c r="S2" s="3"/>
    </row>
    <row r="3" spans="1:41" ht="23.25" customHeight="1" x14ac:dyDescent="0.35">
      <c r="A3" s="16" t="s">
        <v>2</v>
      </c>
      <c r="C3" s="52" t="s">
        <v>18</v>
      </c>
      <c r="D3" s="52"/>
      <c r="E3" s="52"/>
      <c r="F3" s="52"/>
      <c r="G3" s="52"/>
      <c r="H3" s="52"/>
      <c r="I3" s="52"/>
      <c r="J3" s="2"/>
      <c r="K3" s="54" t="s">
        <v>31</v>
      </c>
      <c r="L3" s="54"/>
      <c r="M3" s="54"/>
      <c r="N3" s="54"/>
      <c r="O3" s="54"/>
      <c r="P3" s="54"/>
      <c r="Q3" s="54"/>
      <c r="S3" s="3"/>
      <c r="U3" s="41" t="s">
        <v>75</v>
      </c>
    </row>
    <row r="4" spans="1:41" ht="15" customHeight="1" x14ac:dyDescent="0.3">
      <c r="A4" s="15" t="s">
        <v>3</v>
      </c>
      <c r="C4" s="13" t="s">
        <v>19</v>
      </c>
      <c r="D4" s="13" t="s">
        <v>25</v>
      </c>
      <c r="E4" s="50" t="s">
        <v>26</v>
      </c>
      <c r="F4" s="51" t="s">
        <v>27</v>
      </c>
      <c r="G4" s="13" t="s">
        <v>28</v>
      </c>
      <c r="H4" s="13" t="s">
        <v>29</v>
      </c>
      <c r="I4" s="13" t="s">
        <v>30</v>
      </c>
      <c r="J4" s="1"/>
      <c r="K4" s="13" t="s">
        <v>19</v>
      </c>
      <c r="L4" s="13" t="s">
        <v>25</v>
      </c>
      <c r="M4" s="24" t="s">
        <v>26</v>
      </c>
      <c r="N4" s="51" t="s">
        <v>27</v>
      </c>
      <c r="O4" s="13" t="s">
        <v>28</v>
      </c>
      <c r="P4" s="13" t="s">
        <v>29</v>
      </c>
      <c r="Q4" s="13" t="s">
        <v>30</v>
      </c>
      <c r="S4" s="3"/>
      <c r="U4" s="42" t="s">
        <v>74</v>
      </c>
      <c r="V4" s="1"/>
      <c r="W4" s="1"/>
    </row>
    <row r="5" spans="1:41" ht="15" customHeight="1" x14ac:dyDescent="0.35">
      <c r="A5" s="15"/>
      <c r="C5" s="21" t="str">
        <f>IF(DAY(JanNed1)=1,"",IF(AND(YEAR(JanNed1+1)=KalendárnyRok,MONTH(JanNed1+1)=1),JanNed1+1,""))</f>
        <v/>
      </c>
      <c r="D5" s="21" t="str">
        <f>IF(DAY(JanNed1)=1,"",IF(AND(YEAR(JanNed1+2)=KalendárnyRok,MONTH(JanNed1+2)=1),JanNed1+2,""))</f>
        <v/>
      </c>
      <c r="E5" s="21" t="str">
        <f>IF(DAY(JanNed1)=1,"",IF(AND(YEAR(JanNed1+3)=KalendárnyRok,MONTH(JanNed1+3)=1),JanNed1+3,""))</f>
        <v/>
      </c>
      <c r="F5" s="21" t="str">
        <f>IF(DAY(JanNed1)=1,"",IF(AND(YEAR(JanNed1+4)=KalendárnyRok,MONTH(JanNed1+4)=1),JanNed1+4,""))</f>
        <v/>
      </c>
      <c r="G5" s="21" t="str">
        <f>IF(DAY(JanNed1)=1,"",IF(AND(YEAR(JanNed1+5)=KalendárnyRok,MONTH(JanNed1+5)=1),JanNed1+5,""))</f>
        <v/>
      </c>
      <c r="H5" s="21" t="str">
        <f>IF(DAY(JanNed1)=1,"",IF(AND(YEAR(JanNed1+6)=KalendárnyRok,MONTH(JanNed1+6)=1),JanNed1+6,""))</f>
        <v/>
      </c>
      <c r="I5" s="21">
        <f>IF(DAY(JanNed1)=1,IF(AND(YEAR(JanNed1)=KalendárnyRok,MONTH(JanNed1)=1),JanNed1,""),IF(AND(YEAR(JanNed1+7)=KalendárnyRok,MONTH(JanNed1+7)=1),JanNed1+7,""))</f>
        <v>44927</v>
      </c>
      <c r="J5" s="21"/>
      <c r="K5" s="21" t="str">
        <f>IF(DAY(FebNed1)=1,"",IF(AND(YEAR(FebNed1+1)=KalendárnyRok,MONTH(FebNed1+1)=2),FebNed1+1,""))</f>
        <v/>
      </c>
      <c r="L5" s="21" t="str">
        <f>IF(DAY(FebNed1)=1,"",IF(AND(YEAR(FebNed1+2)=KalendárnyRok,MONTH(FebNed1+2)=2),FebNed1+2,""))</f>
        <v/>
      </c>
      <c r="M5" s="29">
        <f>IF(DAY(FebNed1)=1,"",IF(AND(YEAR(FebNed1+3)=KalendárnyRok,MONTH(FebNed1+3)=2),FebNed1+3,""))</f>
        <v>44958</v>
      </c>
      <c r="N5" s="26">
        <f>IF(DAY(FebNed1)=1,"",IF(AND(YEAR(FebNed1+4)=KalendárnyRok,MONTH(FebNed1+4)=2),FebNed1+4,""))</f>
        <v>44959</v>
      </c>
      <c r="O5" s="21">
        <f>IF(DAY(FebNed1)=1,"",IF(AND(YEAR(FebNed1+5)=KalendárnyRok,MONTH(FebNed1+5)=2),FebNed1+5,""))</f>
        <v>44960</v>
      </c>
      <c r="P5" s="21">
        <f>IF(DAY(FebNed1)=1,"",IF(AND(YEAR(FebNed1+6)=KalendárnyRok,MONTH(FebNed1+6)=2),FebNed1+6,""))</f>
        <v>44961</v>
      </c>
      <c r="Q5" s="21">
        <f>IF(DAY(FebNed1)=1,IF(AND(YEAR(FebNed1)=KalendárnyRok,MONTH(FebNed1)=2),FebNed1,""),IF(AND(YEAR(FebNed1+7)=KalendárnyRok,MONTH(FebNed1+7)=2),FebNed1+7,""))</f>
        <v>44962</v>
      </c>
      <c r="S5" s="3"/>
      <c r="U5" s="23" t="s">
        <v>37</v>
      </c>
      <c r="V5" s="1" t="s">
        <v>38</v>
      </c>
      <c r="W5" s="1"/>
    </row>
    <row r="6" spans="1:41" ht="15" customHeight="1" x14ac:dyDescent="0.3">
      <c r="A6" s="15"/>
      <c r="C6" s="21">
        <f>IF(DAY(JanNed1)=1,IF(AND(YEAR(JanNed1+1)=KalendárnyRok,MONTH(JanNed1+1)=1),JanNed1+1,""),IF(AND(YEAR(JanNed1+8)=KalendárnyRok,MONTH(JanNed1+8)=1),JanNed1+8,""))</f>
        <v>44928</v>
      </c>
      <c r="D6" s="21">
        <f>IF(DAY(JanNed1)=1,IF(AND(YEAR(JanNed1+2)=KalendárnyRok,MONTH(JanNed1+2)=1),JanNed1+2,""),IF(AND(YEAR(JanNed1+9)=KalendárnyRok,MONTH(JanNed1+9)=1),JanNed1+9,""))</f>
        <v>44929</v>
      </c>
      <c r="E6" s="25">
        <f>IF(DAY(JanNed1)=1,IF(AND(YEAR(JanNed1+3)=KalendárnyRok,MONTH(JanNed1+3)=1),JanNed1+3,""),IF(AND(YEAR(JanNed1+10)=KalendárnyRok,MONTH(JanNed1+10)=1),JanNed1+10,""))</f>
        <v>44930</v>
      </c>
      <c r="F6" s="21">
        <f>IF(DAY(JanNed1)=1,IF(AND(YEAR(JanNed1+4)=KalendárnyRok,MONTH(JanNed1+4)=1),JanNed1+4,""),IF(AND(YEAR(JanNed1+11)=KalendárnyRok,MONTH(JanNed1+11)=1),JanNed1+11,""))</f>
        <v>44931</v>
      </c>
      <c r="G6" s="21">
        <f>IF(DAY(JanNed1)=1,IF(AND(YEAR(JanNed1+5)=KalendárnyRok,MONTH(JanNed1+5)=1),JanNed1+5,""),IF(AND(YEAR(JanNed1+12)=KalendárnyRok,MONTH(JanNed1+12)=1),JanNed1+12,""))</f>
        <v>44932</v>
      </c>
      <c r="H6" s="21">
        <f>IF(DAY(JanNed1)=1,IF(AND(YEAR(JanNed1+6)=KalendárnyRok,MONTH(JanNed1+6)=1),JanNed1+6,""),IF(AND(YEAR(JanNed1+13)=KalendárnyRok,MONTH(JanNed1+13)=1),JanNed1+13,""))</f>
        <v>44933</v>
      </c>
      <c r="I6" s="21">
        <f>IF(DAY(JanNed1)=1,IF(AND(YEAR(JanNed1+7)=KalendárnyRok,MONTH(JanNed1+7)=1),JanNed1+7,""),IF(AND(YEAR(JanNed1+14)=KalendárnyRok,MONTH(JanNed1+14)=1),JanNed1+14,""))</f>
        <v>44934</v>
      </c>
      <c r="J6" s="21"/>
      <c r="K6" s="21">
        <f>IF(DAY(FebNed1)=1,IF(AND(YEAR(FebNed1+1)=KalendárnyRok,MONTH(FebNed1+1)=2),FebNed1+1,""),IF(AND(YEAR(FebNed1+8)=KalendárnyRok,MONTH(FebNed1+8)=2),FebNed1+8,""))</f>
        <v>44963</v>
      </c>
      <c r="L6" s="21">
        <f>IF(DAY(FebNed1)=1,IF(AND(YEAR(FebNed1+2)=KalendárnyRok,MONTH(FebNed1+2)=2),FebNed1+2,""),IF(AND(YEAR(FebNed1+9)=KalendárnyRok,MONTH(FebNed1+9)=2),FebNed1+9,""))</f>
        <v>44964</v>
      </c>
      <c r="M6" s="21">
        <f>IF(DAY(FebNed1)=1,IF(AND(YEAR(FebNed1+3)=KalendárnyRok,MONTH(FebNed1+3)=2),FebNed1+3,""),IF(AND(YEAR(FebNed1+10)=KalendárnyRok,MONTH(FebNed1+10)=2),FebNed1+10,""))</f>
        <v>44965</v>
      </c>
      <c r="N6" s="21">
        <f>IF(DAY(FebNed1)=1,IF(AND(YEAR(FebNed1+4)=KalendárnyRok,MONTH(FebNed1+4)=2),FebNed1+4,""),IF(AND(YEAR(FebNed1+11)=KalendárnyRok,MONTH(FebNed1+11)=2),FebNed1+11,""))</f>
        <v>44966</v>
      </c>
      <c r="O6" s="21">
        <f>IF(DAY(FebNed1)=1,IF(AND(YEAR(FebNed1+5)=KalendárnyRok,MONTH(FebNed1+5)=2),FebNed1+5,""),IF(AND(YEAR(FebNed1+12)=KalendárnyRok,MONTH(FebNed1+12)=2),FebNed1+12,""))</f>
        <v>44967</v>
      </c>
      <c r="P6" s="21">
        <f>IF(DAY(FebNed1)=1,IF(AND(YEAR(FebNed1+6)=KalendárnyRok,MONTH(FebNed1+6)=2),FebNed1+6,""),IF(AND(YEAR(FebNed1+13)=KalendárnyRok,MONTH(FebNed1+13)=2),FebNed1+13,""))</f>
        <v>44968</v>
      </c>
      <c r="Q6" s="21">
        <f>IF(DAY(FebNed1)=1,IF(AND(YEAR(FebNed1+7)=KalendárnyRok,MONTH(FebNed1+7)=2),FebNed1+7,""),IF(AND(YEAR(FebNed1+14)=KalendárnyRok,MONTH(FebNed1+14)=2),FebNed1+14,""))</f>
        <v>44969</v>
      </c>
      <c r="S6" s="3"/>
      <c r="U6" s="23" t="s">
        <v>39</v>
      </c>
      <c r="V6" s="1"/>
      <c r="W6" s="1"/>
    </row>
    <row r="7" spans="1:41" ht="15" customHeight="1" x14ac:dyDescent="0.3">
      <c r="C7" s="21">
        <f>IF(DAY(JanNed1)=1,IF(AND(YEAR(JanNed1+8)=KalendárnyRok,MONTH(JanNed1+8)=1),JanNed1+8,""),IF(AND(YEAR(JanNed1+15)=KalendárnyRok,MONTH(JanNed1+15)=1),JanNed1+15,""))</f>
        <v>44935</v>
      </c>
      <c r="D7" s="28">
        <f>IF(DAY(JanNed1)=1,IF(AND(YEAR(JanNed1+9)=KalendárnyRok,MONTH(JanNed1+9)=1),JanNed1+9,""),IF(AND(YEAR(JanNed1+16)=KalendárnyRok,MONTH(JanNed1+16)=1),JanNed1+16,""))</f>
        <v>44936</v>
      </c>
      <c r="E7" s="29">
        <f>IF(DAY(JanNed1)=1,IF(AND(YEAR(JanNed1+10)=KalendárnyRok,MONTH(JanNed1+10)=1),JanNed1+10,""),IF(AND(YEAR(JanNed1+17)=KalendárnyRok,MONTH(JanNed1+17)=1),JanNed1+17,""))</f>
        <v>44937</v>
      </c>
      <c r="F7" s="27">
        <f>IF(DAY(JanNed1)=1,IF(AND(YEAR(JanNed1+11)=KalendárnyRok,MONTH(JanNed1+11)=1),JanNed1+11,""),IF(AND(YEAR(JanNed1+18)=KalendárnyRok,MONTH(JanNed1+18)=1),JanNed1+18,""))</f>
        <v>44938</v>
      </c>
      <c r="G7" s="21">
        <f>IF(DAY(JanNed1)=1,IF(AND(YEAR(JanNed1+12)=KalendárnyRok,MONTH(JanNed1+12)=1),JanNed1+12,""),IF(AND(YEAR(JanNed1+19)=KalendárnyRok,MONTH(JanNed1+19)=1),JanNed1+19,""))</f>
        <v>44939</v>
      </c>
      <c r="H7" s="21">
        <f>IF(DAY(JanNed1)=1,IF(AND(YEAR(JanNed1+13)=KalendárnyRok,MONTH(JanNed1+13)=1),JanNed1+13,""),IF(AND(YEAR(JanNed1+20)=KalendárnyRok,MONTH(JanNed1+20)=1),JanNed1+20,""))</f>
        <v>44940</v>
      </c>
      <c r="I7" s="21">
        <f>IF(DAY(JanNed1)=1,IF(AND(YEAR(JanNed1+14)=KalendárnyRok,MONTH(JanNed1+14)=1),JanNed1+14,""),IF(AND(YEAR(JanNed1+21)=KalendárnyRok,MONTH(JanNed1+21)=1),JanNed1+21,""))</f>
        <v>44941</v>
      </c>
      <c r="J7" s="21"/>
      <c r="K7" s="21">
        <f>IF(DAY(FebNed1)=1,IF(AND(YEAR(FebNed1+8)=KalendárnyRok,MONTH(FebNed1+8)=2),FebNed1+8,""),IF(AND(YEAR(FebNed1+15)=KalendárnyRok,MONTH(FebNed1+15)=2),FebNed1+15,""))</f>
        <v>44970</v>
      </c>
      <c r="L7" s="28">
        <f>IF(DAY(FebNed1)=1,IF(AND(YEAR(FebNed1+9)=KalendárnyRok,MONTH(FebNed1+9)=2),FebNed1+9,""),IF(AND(YEAR(FebNed1+16)=KalendárnyRok,MONTH(FebNed1+16)=2),FebNed1+16,""))</f>
        <v>44971</v>
      </c>
      <c r="M7" s="21">
        <f>IF(DAY(FebNed1)=1,IF(AND(YEAR(FebNed1+10)=KalendárnyRok,MONTH(FebNed1+10)=2),FebNed1+10,""),IF(AND(YEAR(FebNed1+17)=KalendárnyRok,MONTH(FebNed1+17)=2),FebNed1+17,""))</f>
        <v>44972</v>
      </c>
      <c r="N7" s="25">
        <f>IF(DAY(FebNed1)=1,IF(AND(YEAR(FebNed1+11)=KalendárnyRok,MONTH(FebNed1+11)=2),FebNed1+11,""),IF(AND(YEAR(FebNed1+18)=KalendárnyRok,MONTH(FebNed1+18)=2),FebNed1+18,""))</f>
        <v>44973</v>
      </c>
      <c r="O7" s="21">
        <f>IF(DAY(FebNed1)=1,IF(AND(YEAR(FebNed1+12)=KalendárnyRok,MONTH(FebNed1+12)=2),FebNed1+12,""),IF(AND(YEAR(FebNed1+19)=KalendárnyRok,MONTH(FebNed1+19)=2),FebNed1+19,""))</f>
        <v>44974</v>
      </c>
      <c r="P7" s="21">
        <f>IF(DAY(FebNed1)=1,IF(AND(YEAR(FebNed1+13)=KalendárnyRok,MONTH(FebNed1+13)=2),FebNed1+13,""),IF(AND(YEAR(FebNed1+20)=KalendárnyRok,MONTH(FebNed1+20)=2),FebNed1+20,""))</f>
        <v>44975</v>
      </c>
      <c r="Q7" s="21">
        <f>IF(DAY(FebNed1)=1,IF(AND(YEAR(FebNed1+14)=KalendárnyRok,MONTH(FebNed1+14)=2),FebNed1+14,""),IF(AND(YEAR(FebNed1+21)=KalendárnyRok,MONTH(FebNed1+21)=2),FebNed1+21,""))</f>
        <v>44976</v>
      </c>
      <c r="S7" s="3"/>
      <c r="U7" s="23" t="s">
        <v>40</v>
      </c>
      <c r="V7" s="1"/>
      <c r="W7" s="1"/>
    </row>
    <row r="8" spans="1:41" ht="15" customHeight="1" x14ac:dyDescent="0.3">
      <c r="C8" s="21">
        <f>IF(DAY(JanNed1)=1,IF(AND(YEAR(JanNed1+15)=KalendárnyRok,MONTH(JanNed1+15)=1),JanNed1+15,""),IF(AND(YEAR(JanNed1+22)=KalendárnyRok,MONTH(JanNed1+22)=1),JanNed1+22,""))</f>
        <v>44942</v>
      </c>
      <c r="D8" s="21">
        <f>IF(DAY(JanNed1)=1,IF(AND(YEAR(JanNed1+16)=KalendárnyRok,MONTH(JanNed1+16)=1),JanNed1+16,""),IF(AND(YEAR(JanNed1+23)=KalendárnyRok,MONTH(JanNed1+23)=1),JanNed1+23,""))</f>
        <v>44943</v>
      </c>
      <c r="E8" s="21">
        <f>IF(DAY(JanNed1)=1,IF(AND(YEAR(JanNed1+17)=KalendárnyRok,MONTH(JanNed1+17)=1),JanNed1+17,""),IF(AND(YEAR(JanNed1+24)=KalendárnyRok,MONTH(JanNed1+24)=1),JanNed1+24,""))</f>
        <v>44944</v>
      </c>
      <c r="F8" s="25">
        <f>IF(DAY(JanNed1)=1,IF(AND(YEAR(JanNed1+18)=KalendárnyRok,MONTH(JanNed1+18)=1),JanNed1+18,""),IF(AND(YEAR(JanNed1+25)=KalendárnyRok,MONTH(JanNed1+25)=1),JanNed1+25,""))</f>
        <v>44945</v>
      </c>
      <c r="G8" s="21">
        <f>IF(DAY(JanNed1)=1,IF(AND(YEAR(JanNed1+19)=KalendárnyRok,MONTH(JanNed1+19)=1),JanNed1+19,""),IF(AND(YEAR(JanNed1+26)=KalendárnyRok,MONTH(JanNed1+26)=1),JanNed1+26,""))</f>
        <v>44946</v>
      </c>
      <c r="H8" s="21">
        <f>IF(DAY(JanNed1)=1,IF(AND(YEAR(JanNed1+20)=KalendárnyRok,MONTH(JanNed1+20)=1),JanNed1+20,""),IF(AND(YEAR(JanNed1+27)=KalendárnyRok,MONTH(JanNed1+27)=1),JanNed1+27,""))</f>
        <v>44947</v>
      </c>
      <c r="I8" s="21">
        <f>IF(DAY(JanNed1)=1,IF(AND(YEAR(JanNed1+21)=KalendárnyRok,MONTH(JanNed1+21)=1),JanNed1+21,""),IF(AND(YEAR(JanNed1+28)=KalendárnyRok,MONTH(JanNed1+28)=1),JanNed1+28,""))</f>
        <v>44948</v>
      </c>
      <c r="J8" s="21"/>
      <c r="K8" s="21">
        <f>IF(DAY(FebNed1)=1,IF(AND(YEAR(FebNed1+15)=KalendárnyRok,MONTH(FebNed1+15)=2),FebNed1+15,""),IF(AND(YEAR(FebNed1+22)=KalendárnyRok,MONTH(FebNed1+22)=2),FebNed1+22,""))</f>
        <v>44977</v>
      </c>
      <c r="L8" s="21">
        <f>IF(DAY(FebNed1)=1,IF(AND(YEAR(FebNed1+16)=KalendárnyRok,MONTH(FebNed1+16)=2),FebNed1+16,""),IF(AND(YEAR(FebNed1+23)=KalendárnyRok,MONTH(FebNed1+23)=2),FebNed1+23,""))</f>
        <v>44978</v>
      </c>
      <c r="M8" s="21">
        <f>IF(DAY(FebNed1)=1,IF(AND(YEAR(FebNed1+17)=KalendárnyRok,MONTH(FebNed1+17)=2),FebNed1+17,""),IF(AND(YEAR(FebNed1+24)=KalendárnyRok,MONTH(FebNed1+24)=2),FebNed1+24,""))</f>
        <v>44979</v>
      </c>
      <c r="N8" s="21">
        <f>IF(DAY(FebNed1)=1,IF(AND(YEAR(FebNed1+18)=KalendárnyRok,MONTH(FebNed1+18)=2),FebNed1+18,""),IF(AND(YEAR(FebNed1+25)=KalendárnyRok,MONTH(FebNed1+25)=2),FebNed1+25,""))</f>
        <v>44980</v>
      </c>
      <c r="O8" s="21">
        <f>IF(DAY(FebNed1)=1,IF(AND(YEAR(FebNed1+19)=KalendárnyRok,MONTH(FebNed1+19)=2),FebNed1+19,""),IF(AND(YEAR(FebNed1+26)=KalendárnyRok,MONTH(FebNed1+26)=2),FebNed1+26,""))</f>
        <v>44981</v>
      </c>
      <c r="P8" s="21">
        <f>IF(DAY(FebNed1)=1,IF(AND(YEAR(FebNed1+20)=KalendárnyRok,MONTH(FebNed1+20)=2),FebNed1+20,""),IF(AND(YEAR(FebNed1+27)=KalendárnyRok,MONTH(FebNed1+27)=2),FebNed1+27,""))</f>
        <v>44982</v>
      </c>
      <c r="Q8" s="21">
        <f>IF(DAY(FebNed1)=1,IF(AND(YEAR(FebNed1+21)=KalendárnyRok,MONTH(FebNed1+21)=2),FebNed1+21,""),IF(AND(YEAR(FebNed1+28)=KalendárnyRok,MONTH(FebNed1+28)=2),FebNed1+28,""))</f>
        <v>44983</v>
      </c>
      <c r="S8" s="3"/>
      <c r="U8" s="23" t="s">
        <v>41</v>
      </c>
      <c r="V8" s="1"/>
      <c r="W8" s="1"/>
    </row>
    <row r="9" spans="1:41" ht="15" customHeight="1" x14ac:dyDescent="0.25">
      <c r="C9" s="21">
        <f>IF(DAY(JanNed1)=1,IF(AND(YEAR(JanNed1+22)=KalendárnyRok,MONTH(JanNed1+22)=1),JanNed1+22,""),IF(AND(YEAR(JanNed1+29)=KalendárnyRok,MONTH(JanNed1+29)=1),JanNed1+29,""))</f>
        <v>44949</v>
      </c>
      <c r="D9" s="21">
        <f>IF(DAY(JanNed1)=1,IF(AND(YEAR(JanNed1+23)=KalendárnyRok,MONTH(JanNed1+23)=1),JanNed1+23,""),IF(AND(YEAR(JanNed1+30)=KalendárnyRok,MONTH(JanNed1+30)=1),JanNed1+30,""))</f>
        <v>44950</v>
      </c>
      <c r="E9" s="21">
        <f>IF(DAY(JanNed1)=1,IF(AND(YEAR(JanNed1+24)=KalendárnyRok,MONTH(JanNed1+24)=1),JanNed1+24,""),IF(AND(YEAR(JanNed1+31)=KalendárnyRok,MONTH(JanNed1+31)=1),JanNed1+31,""))</f>
        <v>44951</v>
      </c>
      <c r="F9" s="21">
        <f>IF(DAY(JanNed1)=1,IF(AND(YEAR(JanNed1+25)=KalendárnyRok,MONTH(JanNed1+25)=1),JanNed1+25,""),IF(AND(YEAR(JanNed1+32)=KalendárnyRok,MONTH(JanNed1+32)=1),JanNed1+32,""))</f>
        <v>44952</v>
      </c>
      <c r="G9" s="21">
        <f>IF(DAY(JanNed1)=1,IF(AND(YEAR(JanNed1+26)=KalendárnyRok,MONTH(JanNed1+26)=1),JanNed1+26,""),IF(AND(YEAR(JanNed1+33)=KalendárnyRok,MONTH(JanNed1+33)=1),JanNed1+33,""))</f>
        <v>44953</v>
      </c>
      <c r="H9" s="21">
        <f>IF(DAY(JanNed1)=1,IF(AND(YEAR(JanNed1+27)=KalendárnyRok,MONTH(JanNed1+27)=1),JanNed1+27,""),IF(AND(YEAR(JanNed1+34)=KalendárnyRok,MONTH(JanNed1+34)=1),JanNed1+34,""))</f>
        <v>44954</v>
      </c>
      <c r="I9" s="21">
        <f>IF(DAY(JanNed1)=1,IF(AND(YEAR(JanNed1+28)=KalendárnyRok,MONTH(JanNed1+28)=1),JanNed1+28,""),IF(AND(YEAR(JanNed1+35)=KalendárnyRok,MONTH(JanNed1+35)=1),JanNed1+35,""))</f>
        <v>44955</v>
      </c>
      <c r="J9" s="21"/>
      <c r="K9" s="21">
        <f>IF(DAY(FebNed1)=1,IF(AND(YEAR(FebNed1+22)=KalendárnyRok,MONTH(FebNed1+22)=2),FebNed1+22,""),IF(AND(YEAR(FebNed1+29)=KalendárnyRok,MONTH(FebNed1+29)=2),FebNed1+29,""))</f>
        <v>44984</v>
      </c>
      <c r="L9" s="21">
        <f>IF(DAY(FebNed1)=1,IF(AND(YEAR(FebNed1+23)=KalendárnyRok,MONTH(FebNed1+23)=2),FebNed1+23,""),IF(AND(YEAR(FebNed1+30)=KalendárnyRok,MONTH(FebNed1+30)=2),FebNed1+30,""))</f>
        <v>44985</v>
      </c>
      <c r="M9" s="21" t="str">
        <f>IF(DAY(FebNed1)=1,IF(AND(YEAR(FebNed1+24)=KalendárnyRok,MONTH(FebNed1+24)=2),FebNed1+24,""),IF(AND(YEAR(FebNed1+31)=KalendárnyRok,MONTH(FebNed1+31)=2),FebNed1+31,""))</f>
        <v/>
      </c>
      <c r="N9" s="21" t="str">
        <f>IF(DAY(FebNed1)=1,IF(AND(YEAR(FebNed1+25)=KalendárnyRok,MONTH(FebNed1+25)=2),FebNed1+25,""),IF(AND(YEAR(FebNed1+32)=KalendárnyRok,MONTH(FebNed1+32)=2),FebNed1+32,""))</f>
        <v/>
      </c>
      <c r="O9" s="21" t="str">
        <f>IF(DAY(FebNed1)=1,IF(AND(YEAR(FebNed1+26)=KalendárnyRok,MONTH(FebNed1+26)=2),FebNed1+26,""),IF(AND(YEAR(FebNed1+33)=KalendárnyRok,MONTH(FebNed1+33)=2),FebNed1+33,""))</f>
        <v/>
      </c>
      <c r="P9" s="21" t="str">
        <f>IF(DAY(FebNed1)=1,IF(AND(YEAR(FebNed1+27)=KalendárnyRok,MONTH(FebNed1+27)=2),FebNed1+27,""),IF(AND(YEAR(FebNed1+34)=KalendárnyRok,MONTH(FebNed1+34)=2),FebNed1+34,""))</f>
        <v/>
      </c>
      <c r="Q9" s="21" t="str">
        <f>IF(DAY(FebNed1)=1,IF(AND(YEAR(FebNed1+28)=KalendárnyRok,MONTH(FebNed1+28)=2),FebNed1+28,""),IF(AND(YEAR(FebNed1+35)=KalendárnyRok,MONTH(FebNed1+35)=2),FebNed1+35,""))</f>
        <v/>
      </c>
      <c r="S9" s="3"/>
      <c r="U9" s="23" t="s">
        <v>49</v>
      </c>
      <c r="V9" s="1"/>
      <c r="W9" s="1"/>
    </row>
    <row r="10" spans="1:41" ht="15" customHeight="1" x14ac:dyDescent="0.25">
      <c r="C10" s="21">
        <f>IF(DAY(JanNed1)=1,IF(AND(YEAR(JanNed1+29)=KalendárnyRok,MONTH(JanNed1+29)=1),JanNed1+29,""),IF(AND(YEAR(JanNed1+36)=KalendárnyRok,MONTH(JanNed1+36)=1),JanNed1+36,""))</f>
        <v>44956</v>
      </c>
      <c r="D10" s="21">
        <f>IF(DAY(JanNed1)=1,IF(AND(YEAR(JanNed1+30)=KalendárnyRok,MONTH(JanNed1+30)=1),JanNed1+30,""),IF(AND(YEAR(JanNed1+37)=KalendárnyRok,MONTH(JanNed1+37)=1),JanNed1+37,""))</f>
        <v>44957</v>
      </c>
      <c r="E10" s="21" t="str">
        <f>IF(DAY(JanNed1)=1,IF(AND(YEAR(JanNed1+31)=KalendárnyRok,MONTH(JanNed1+31)=1),JanNed1+31,""),IF(AND(YEAR(JanNed1+38)=KalendárnyRok,MONTH(JanNed1+38)=1),JanNed1+38,""))</f>
        <v/>
      </c>
      <c r="F10" s="21" t="str">
        <f>IF(DAY(JanNed1)=1,IF(AND(YEAR(JanNed1+32)=KalendárnyRok,MONTH(JanNed1+32)=1),JanNed1+32,""),IF(AND(YEAR(JanNed1+39)=KalendárnyRok,MONTH(JanNed1+39)=1),JanNed1+39,""))</f>
        <v/>
      </c>
      <c r="G10" s="21" t="str">
        <f>IF(DAY(JanNed1)=1,IF(AND(YEAR(JanNed1+33)=KalendárnyRok,MONTH(JanNed1+33)=1),JanNed1+33,""),IF(AND(YEAR(JanNed1+40)=KalendárnyRok,MONTH(JanNed1+40)=1),JanNed1+40,""))</f>
        <v/>
      </c>
      <c r="H10" s="21" t="str">
        <f>IF(DAY(JanNed1)=1,IF(AND(YEAR(JanNed1+34)=KalendárnyRok,MONTH(JanNed1+34)=1),JanNed1+34,""),IF(AND(YEAR(JanNed1+41)=KalendárnyRok,MONTH(JanNed1+41)=1),JanNed1+41,""))</f>
        <v/>
      </c>
      <c r="I10" s="21" t="str">
        <f>IF(DAY(JanNed1)=1,IF(AND(YEAR(JanNed1+35)=KalendárnyRok,MONTH(JanNed1+35)=1),JanNed1+35,""),IF(AND(YEAR(JanNed1+42)=KalendárnyRok,MONTH(JanNed1+42)=1),JanNed1+42,""))</f>
        <v/>
      </c>
      <c r="J10" s="21"/>
      <c r="K10" s="21" t="str">
        <f>IF(DAY(FebNed1)=1,IF(AND(YEAR(FebNed1+29)=KalendárnyRok,MONTH(FebNed1+29)=2),FebNed1+29,""),IF(AND(YEAR(FebNed1+36)=KalendárnyRok,MONTH(FebNed1+36)=2),FebNed1+36,""))</f>
        <v/>
      </c>
      <c r="L10" s="21" t="str">
        <f>IF(DAY(FebNed1)=1,IF(AND(YEAR(FebNed1+30)=KalendárnyRok,MONTH(FebNed1+30)=2),FebNed1+30,""),IF(AND(YEAR(FebNed1+37)=KalendárnyRok,MONTH(FebNed1+37)=2),FebNed1+37,""))</f>
        <v/>
      </c>
      <c r="M10" s="21" t="str">
        <f>IF(DAY(FebNed1)=1,IF(AND(YEAR(FebNed1+31)=KalendárnyRok,MONTH(FebNed1+31)=2),FebNed1+31,""),IF(AND(YEAR(FebNed1+38)=KalendárnyRok,MONTH(FebNed1+38)=2),FebNed1+38,""))</f>
        <v/>
      </c>
      <c r="N10" s="21" t="str">
        <f>IF(DAY(FebNed1)=1,IF(AND(YEAR(FebNed1+32)=KalendárnyRok,MONTH(FebNed1+32)=2),FebNed1+32,""),IF(AND(YEAR(FebNed1+39)=KalendárnyRok,MONTH(FebNed1+39)=2),FebNed1+39,""))</f>
        <v/>
      </c>
      <c r="O10" s="21" t="str">
        <f>IF(DAY(FebNed1)=1,IF(AND(YEAR(FebNed1+33)=KalendárnyRok,MONTH(FebNed1+33)=2),FebNed1+33,""),IF(AND(YEAR(FebNed1+40)=KalendárnyRok,MONTH(FebNed1+40)=2),FebNed1+40,""))</f>
        <v/>
      </c>
      <c r="P10" s="21" t="str">
        <f>IF(DAY(FebNed1)=1,IF(AND(YEAR(FebNed1+34)=KalendárnyRok,MONTH(FebNed1+34)=2),FebNed1+34,""),IF(AND(YEAR(FebNed1+41)=KalendárnyRok,MONTH(FebNed1+41)=2),FebNed1+41,""))</f>
        <v/>
      </c>
      <c r="Q10" s="21" t="str">
        <f>IF(DAY(FebNed1)=1,IF(AND(YEAR(FebNed1+35)=KalendárnyRok,MONTH(FebNed1+35)=2),FebNed1+35,""),IF(AND(YEAR(FebNed1+42)=KalendárnyRok,MONTH(FebNed1+42)=2),FebNed1+42,""))</f>
        <v/>
      </c>
      <c r="S10" s="3"/>
      <c r="U10" s="23" t="s">
        <v>44</v>
      </c>
      <c r="V10" s="1"/>
      <c r="W10" s="1"/>
    </row>
    <row r="11" spans="1:41" ht="13.5" customHeight="1" x14ac:dyDescent="0.25">
      <c r="C11" s="33"/>
      <c r="D11" s="33"/>
      <c r="E11" s="33"/>
      <c r="F11" s="33"/>
      <c r="G11" s="33"/>
      <c r="H11" s="33"/>
      <c r="I11" s="33"/>
      <c r="J11" s="21"/>
      <c r="K11" s="21"/>
      <c r="L11" s="21"/>
      <c r="M11" s="21"/>
      <c r="N11" s="21"/>
      <c r="O11" s="21"/>
      <c r="P11" s="21"/>
      <c r="Q11" s="21"/>
      <c r="S11" s="3"/>
      <c r="U11" s="23" t="s">
        <v>43</v>
      </c>
      <c r="V11" s="1"/>
      <c r="W11" s="1"/>
    </row>
    <row r="12" spans="1:41" ht="22.5" customHeight="1" x14ac:dyDescent="0.35">
      <c r="A12" s="15" t="s">
        <v>4</v>
      </c>
      <c r="C12" s="52" t="s">
        <v>20</v>
      </c>
      <c r="D12" s="52"/>
      <c r="E12" s="52"/>
      <c r="F12" s="52"/>
      <c r="G12" s="52"/>
      <c r="H12" s="52"/>
      <c r="I12" s="52"/>
      <c r="J12" s="22"/>
      <c r="K12" s="52" t="s">
        <v>32</v>
      </c>
      <c r="L12" s="52"/>
      <c r="M12" s="52"/>
      <c r="N12" s="52"/>
      <c r="O12" s="52"/>
      <c r="P12" s="52"/>
      <c r="Q12" s="52"/>
      <c r="S12" s="19"/>
      <c r="U12" s="23" t="s">
        <v>42</v>
      </c>
      <c r="V12" s="1"/>
      <c r="W12" s="1"/>
      <c r="X12" s="22"/>
      <c r="Y12" s="18"/>
      <c r="AA12" s="18"/>
      <c r="AB12" s="18"/>
      <c r="AC12" s="18"/>
      <c r="AD12" s="18"/>
      <c r="AE12" s="18"/>
      <c r="AF12" s="18"/>
      <c r="AG12" s="18"/>
      <c r="AI12" s="18"/>
      <c r="AJ12" s="18"/>
      <c r="AK12" s="18"/>
      <c r="AL12" s="18"/>
      <c r="AM12" s="18"/>
      <c r="AN12" s="18"/>
      <c r="AO12" s="18"/>
    </row>
    <row r="13" spans="1:41" ht="15" customHeight="1" x14ac:dyDescent="0.3">
      <c r="A13" s="15" t="s">
        <v>5</v>
      </c>
      <c r="C13" s="13" t="s">
        <v>19</v>
      </c>
      <c r="D13" s="13" t="s">
        <v>25</v>
      </c>
      <c r="E13" s="51" t="s">
        <v>26</v>
      </c>
      <c r="F13" s="51" t="s">
        <v>27</v>
      </c>
      <c r="G13" s="13" t="s">
        <v>28</v>
      </c>
      <c r="H13" s="13" t="s">
        <v>29</v>
      </c>
      <c r="I13" s="13" t="s">
        <v>30</v>
      </c>
      <c r="J13" s="2"/>
      <c r="K13" s="13" t="s">
        <v>19</v>
      </c>
      <c r="L13" s="13" t="s">
        <v>25</v>
      </c>
      <c r="M13" s="24" t="s">
        <v>26</v>
      </c>
      <c r="N13" s="24" t="s">
        <v>27</v>
      </c>
      <c r="O13" s="13" t="s">
        <v>28</v>
      </c>
      <c r="P13" s="13" t="s">
        <v>29</v>
      </c>
      <c r="Q13" s="13" t="s">
        <v>30</v>
      </c>
      <c r="S13" s="3"/>
      <c r="U13" s="23" t="s">
        <v>45</v>
      </c>
      <c r="V13" s="1"/>
      <c r="W13" s="1"/>
    </row>
    <row r="14" spans="1:41" ht="15" customHeight="1" x14ac:dyDescent="0.3">
      <c r="C14" s="21" t="str">
        <f>IF(DAY(MarNed1)=1,"",IF(AND(YEAR(MarNed1+1)=KalendárnyRok,MONTH(MarNed1+1)=3),MarNed1+1,""))</f>
        <v/>
      </c>
      <c r="D14" s="21" t="str">
        <f>IF(DAY(MarNed1)=1,"",IF(AND(YEAR(MarNed1+2)=KalendárnyRok,MONTH(MarNed1+2)=3),MarNed1+2,""))</f>
        <v/>
      </c>
      <c r="E14" s="30">
        <f>IF(DAY(MarNed1)=1,"",IF(AND(YEAR(MarNed1+3)=KalendárnyRok,MONTH(MarNed1+3)=3),MarNed1+3,""))</f>
        <v>44986</v>
      </c>
      <c r="F14" s="25">
        <f>IF(DAY(MarNed1)=1,"",IF(AND(YEAR(MarNed1+4)=KalendárnyRok,MONTH(MarNed1+4)=3),MarNed1+4,""))</f>
        <v>44987</v>
      </c>
      <c r="G14" s="21">
        <f>IF(DAY(MarNed1)=1,"",IF(AND(YEAR(MarNed1+5)=KalendárnyRok,MONTH(MarNed1+5)=3),MarNed1+5,""))</f>
        <v>44988</v>
      </c>
      <c r="H14" s="21">
        <f>IF(DAY(MarNed1)=1,"",IF(AND(YEAR(MarNed1+6)=KalendárnyRok,MONTH(MarNed1+6)=3),MarNed1+6,""))</f>
        <v>44989</v>
      </c>
      <c r="I14" s="21">
        <f>IF(DAY(MarNed1)=1,IF(AND(YEAR(MarNed1)=KalendárnyRok,MONTH(MarNed1)=3),MarNed1,""),IF(AND(YEAR(MarNed1+7)=KalendárnyRok,MONTH(MarNed1+7)=3),MarNed1+7,""))</f>
        <v>44990</v>
      </c>
      <c r="J14" s="1"/>
      <c r="K14" s="21" t="str">
        <f>IF(DAY(AprNed1)=1,"",IF(AND(YEAR(AprNed1+1)=KalendárnyRok,MONTH(AprNed1+1)=4),AprNed1+1,""))</f>
        <v/>
      </c>
      <c r="L14" s="21" t="str">
        <f>IF(DAY(AprNed1)=1,"",IF(AND(YEAR(AprNed1+2)=KalendárnyRok,MONTH(AprNed1+2)=4),AprNed1+2,""))</f>
        <v/>
      </c>
      <c r="M14" s="21" t="str">
        <f>IF(DAY(AprNed1)=1,"",IF(AND(YEAR(AprNed1+3)=KalendárnyRok,MONTH(AprNed1+3)=4),AprNed1+3,""))</f>
        <v/>
      </c>
      <c r="N14" s="21" t="str">
        <f>IF(DAY(AprNed1)=1,"",IF(AND(YEAR(AprNed1+4)=KalendárnyRok,MONTH(AprNed1+4)=4),AprNed1+4,""))</f>
        <v/>
      </c>
      <c r="O14" s="21" t="str">
        <f>IF(DAY(AprNed1)=1,"",IF(AND(YEAR(AprNed1+5)=KalendárnyRok,MONTH(AprNed1+5)=4),AprNed1+5,""))</f>
        <v/>
      </c>
      <c r="P14" s="21">
        <f>IF(DAY(AprNed1)=1,"",IF(AND(YEAR(AprNed1+6)=KalendárnyRok,MONTH(AprNed1+6)=4),AprNed1+6,""))</f>
        <v>45017</v>
      </c>
      <c r="Q14" s="21">
        <f>IF(DAY(AprNed1)=1,IF(AND(YEAR(AprNed1)=KalendárnyRok,MONTH(AprNed1)=4),AprNed1,""),IF(AND(YEAR(AprNed1+7)=KalendárnyRok,MONTH(AprNed1+7)=4),AprNed1+7,""))</f>
        <v>45018</v>
      </c>
      <c r="S14" s="3"/>
      <c r="U14" s="23" t="s">
        <v>46</v>
      </c>
      <c r="V14" s="1"/>
      <c r="W14" s="1"/>
    </row>
    <row r="15" spans="1:41" ht="15" customHeight="1" x14ac:dyDescent="0.3">
      <c r="A15" s="15"/>
      <c r="C15" s="21">
        <f>IF(DAY(MarNed1)=1,IF(AND(YEAR(MarNed1+1)=KalendárnyRok,MONTH(MarNed1+1)=3),MarNed1+1,""),IF(AND(YEAR(MarNed1+8)=KalendárnyRok,MONTH(MarNed1+8)=3),MarNed1+8,""))</f>
        <v>44991</v>
      </c>
      <c r="D15" s="21">
        <f>IF(DAY(MarNed1)=1,IF(AND(YEAR(MarNed1+2)=KalendárnyRok,MONTH(MarNed1+2)=3),MarNed1+2,""),IF(AND(YEAR(MarNed1+9)=KalendárnyRok,MONTH(MarNed1+9)=3),MarNed1+9,""))</f>
        <v>44992</v>
      </c>
      <c r="E15" s="21">
        <f>IF(DAY(MarNed1)=1,IF(AND(YEAR(MarNed1+3)=KalendárnyRok,MONTH(MarNed1+3)=3),MarNed1+3,""),IF(AND(YEAR(MarNed1+10)=KalendárnyRok,MONTH(MarNed1+10)=3),MarNed1+10,""))</f>
        <v>44993</v>
      </c>
      <c r="F15" s="27">
        <f>IF(DAY(MarNed1)=1,IF(AND(YEAR(MarNed1+4)=KalendárnyRok,MONTH(MarNed1+4)=3),MarNed1+4,""),IF(AND(YEAR(MarNed1+11)=KalendárnyRok,MONTH(MarNed1+11)=3),MarNed1+11,""))</f>
        <v>44994</v>
      </c>
      <c r="G15" s="21">
        <f>IF(DAY(MarNed1)=1,IF(AND(YEAR(MarNed1+5)=KalendárnyRok,MONTH(MarNed1+5)=3),MarNed1+5,""),IF(AND(YEAR(MarNed1+12)=KalendárnyRok,MONTH(MarNed1+12)=3),MarNed1+12,""))</f>
        <v>44995</v>
      </c>
      <c r="H15" s="21">
        <f>IF(DAY(MarNed1)=1,IF(AND(YEAR(MarNed1+6)=KalendárnyRok,MONTH(MarNed1+6)=3),MarNed1+6,""),IF(AND(YEAR(MarNed1+13)=KalendárnyRok,MONTH(MarNed1+13)=3),MarNed1+13,""))</f>
        <v>44996</v>
      </c>
      <c r="I15" s="21">
        <f>IF(DAY(MarNed1)=1,IF(AND(YEAR(MarNed1+7)=KalendárnyRok,MONTH(MarNed1+7)=3),MarNed1+7,""),IF(AND(YEAR(MarNed1+14)=KalendárnyRok,MONTH(MarNed1+14)=3),MarNed1+14,""))</f>
        <v>44997</v>
      </c>
      <c r="J15" s="21"/>
      <c r="K15" s="21">
        <f>IF(DAY(AprNed1)=1,IF(AND(YEAR(AprNed1+1)=KalendárnyRok,MONTH(AprNed1+1)=4),AprNed1+1,""),IF(AND(YEAR(AprNed1+8)=KalendárnyRok,MONTH(AprNed1+8)=4),AprNed1+8,""))</f>
        <v>45019</v>
      </c>
      <c r="L15" s="21">
        <f>IF(DAY(AprNed1)=1,IF(AND(YEAR(AprNed1+2)=KalendárnyRok,MONTH(AprNed1+2)=4),AprNed1+2,""),IF(AND(YEAR(AprNed1+9)=KalendárnyRok,MONTH(AprNed1+9)=4),AprNed1+9,""))</f>
        <v>45020</v>
      </c>
      <c r="M15" s="29">
        <f>IF(DAY(AprNed1)=1,IF(AND(YEAR(AprNed1+3)=KalendárnyRok,MONTH(AprNed1+3)=4),AprNed1+3,""),IF(AND(YEAR(AprNed1+10)=KalendárnyRok,MONTH(AprNed1+10)=4),AprNed1+10,""))</f>
        <v>45021</v>
      </c>
      <c r="N15" s="21">
        <f>IF(DAY(AprNed1)=1,IF(AND(YEAR(AprNed1+4)=KalendárnyRok,MONTH(AprNed1+4)=4),AprNed1+4,""),IF(AND(YEAR(AprNed1+11)=KalendárnyRok,MONTH(AprNed1+11)=4),AprNed1+11,""))</f>
        <v>45022</v>
      </c>
      <c r="O15" s="21">
        <f>IF(DAY(AprNed1)=1,IF(AND(YEAR(AprNed1+5)=KalendárnyRok,MONTH(AprNed1+5)=4),AprNed1+5,""),IF(AND(YEAR(AprNed1+12)=KalendárnyRok,MONTH(AprNed1+12)=4),AprNed1+12,""))</f>
        <v>45023</v>
      </c>
      <c r="P15" s="21">
        <f>IF(DAY(AprNed1)=1,IF(AND(YEAR(AprNed1+6)=KalendárnyRok,MONTH(AprNed1+6)=4),AprNed1+6,""),IF(AND(YEAR(AprNed1+13)=KalendárnyRok,MONTH(AprNed1+13)=4),AprNed1+13,""))</f>
        <v>45024</v>
      </c>
      <c r="Q15" s="21">
        <f>IF(DAY(AprNed1)=1,IF(AND(YEAR(AprNed1+7)=KalendárnyRok,MONTH(AprNed1+7)=4),AprNed1+7,""),IF(AND(YEAR(AprNed1+14)=KalendárnyRok,MONTH(AprNed1+14)=4),AprNed1+14,""))</f>
        <v>45025</v>
      </c>
      <c r="S15" s="3"/>
      <c r="U15" s="23" t="s">
        <v>47</v>
      </c>
      <c r="V15" s="1"/>
      <c r="W15" s="1"/>
    </row>
    <row r="16" spans="1:41" ht="15" customHeight="1" x14ac:dyDescent="0.3">
      <c r="C16" s="21">
        <f>IF(DAY(MarNed1)=1,IF(AND(YEAR(MarNed1+8)=KalendárnyRok,MONTH(MarNed1+8)=3),MarNed1+8,""),IF(AND(YEAR(MarNed1+15)=KalendárnyRok,MONTH(MarNed1+15)=3),MarNed1+15,""))</f>
        <v>44998</v>
      </c>
      <c r="D16" s="28">
        <f>IF(DAY(MarNed1)=1,IF(AND(YEAR(MarNed1+9)=KalendárnyRok,MONTH(MarNed1+9)=3),MarNed1+9,""),IF(AND(YEAR(MarNed1+16)=KalendárnyRok,MONTH(MarNed1+16)=3),MarNed1+16,""))</f>
        <v>44999</v>
      </c>
      <c r="E16" s="21">
        <f>IF(DAY(MarNed1)=1,IF(AND(YEAR(MarNed1+10)=KalendárnyRok,MONTH(MarNed1+10)=3),MarNed1+10,""),IF(AND(YEAR(MarNed1+17)=KalendárnyRok,MONTH(MarNed1+17)=3),MarNed1+17,""))</f>
        <v>45000</v>
      </c>
      <c r="F16" s="25">
        <f>IF(DAY(MarNed1)=1,IF(AND(YEAR(MarNed1+11)=KalendárnyRok,MONTH(MarNed1+11)=3),MarNed1+11,""),IF(AND(YEAR(MarNed1+18)=KalendárnyRok,MONTH(MarNed1+18)=3),MarNed1+18,""))</f>
        <v>45001</v>
      </c>
      <c r="G16" s="21">
        <f>IF(DAY(MarNed1)=1,IF(AND(YEAR(MarNed1+12)=KalendárnyRok,MONTH(MarNed1+12)=3),MarNed1+12,""),IF(AND(YEAR(MarNed1+19)=KalendárnyRok,MONTH(MarNed1+19)=3),MarNed1+19,""))</f>
        <v>45002</v>
      </c>
      <c r="H16" s="21">
        <f>IF(DAY(MarNed1)=1,IF(AND(YEAR(MarNed1+13)=KalendárnyRok,MONTH(MarNed1+13)=3),MarNed1+13,""),IF(AND(YEAR(MarNed1+20)=KalendárnyRok,MONTH(MarNed1+20)=3),MarNed1+20,""))</f>
        <v>45003</v>
      </c>
      <c r="I16" s="21">
        <f>IF(DAY(MarNed1)=1,IF(AND(YEAR(MarNed1+14)=KalendárnyRok,MONTH(MarNed1+14)=3),MarNed1+14,""),IF(AND(YEAR(MarNed1+21)=KalendárnyRok,MONTH(MarNed1+21)=3),MarNed1+21,""))</f>
        <v>45004</v>
      </c>
      <c r="J16" s="21"/>
      <c r="K16" s="21">
        <f>IF(DAY(AprNed1)=1,IF(AND(YEAR(AprNed1+8)=KalendárnyRok,MONTH(AprNed1+8)=4),AprNed1+8,""),IF(AND(YEAR(AprNed1+15)=KalendárnyRok,MONTH(AprNed1+15)=4),AprNed1+15,""))</f>
        <v>45026</v>
      </c>
      <c r="L16" s="21">
        <f>IF(DAY(AprNed1)=1,IF(AND(YEAR(AprNed1+9)=KalendárnyRok,MONTH(AprNed1+9)=4),AprNed1+9,""),IF(AND(YEAR(AprNed1+16)=KalendárnyRok,MONTH(AprNed1+16)=4),AprNed1+16,""))</f>
        <v>45027</v>
      </c>
      <c r="M16" s="21">
        <f>IF(DAY(AprNed1)=1,IF(AND(YEAR(AprNed1+10)=KalendárnyRok,MONTH(AprNed1+10)=4),AprNed1+10,""),IF(AND(YEAR(AprNed1+17)=KalendárnyRok,MONTH(AprNed1+17)=4),AprNed1+17,""))</f>
        <v>45028</v>
      </c>
      <c r="N16" s="25">
        <f>IF(DAY(AprNed1)=1,IF(AND(YEAR(AprNed1+11)=KalendárnyRok,MONTH(AprNed1+11)=4),AprNed1+11,""),IF(AND(YEAR(AprNed1+18)=KalendárnyRok,MONTH(AprNed1+18)=4),AprNed1+18,""))</f>
        <v>45029</v>
      </c>
      <c r="O16" s="21">
        <f>IF(DAY(AprNed1)=1,IF(AND(YEAR(AprNed1+12)=KalendárnyRok,MONTH(AprNed1+12)=4),AprNed1+12,""),IF(AND(YEAR(AprNed1+19)=KalendárnyRok,MONTH(AprNed1+19)=4),AprNed1+19,""))</f>
        <v>45030</v>
      </c>
      <c r="P16" s="21">
        <f>IF(DAY(AprNed1)=1,IF(AND(YEAR(AprNed1+13)=KalendárnyRok,MONTH(AprNed1+13)=4),AprNed1+13,""),IF(AND(YEAR(AprNed1+20)=KalendárnyRok,MONTH(AprNed1+20)=4),AprNed1+20,""))</f>
        <v>45031</v>
      </c>
      <c r="Q16" s="21">
        <f>IF(DAY(AprNed1)=1,IF(AND(YEAR(AprNed1+14)=KalendárnyRok,MONTH(AprNed1+14)=4),AprNed1+14,""),IF(AND(YEAR(AprNed1+21)=KalendárnyRok,MONTH(AprNed1+21)=4),AprNed1+21,""))</f>
        <v>45032</v>
      </c>
      <c r="S16" s="3"/>
      <c r="U16" s="23" t="s">
        <v>48</v>
      </c>
      <c r="V16" s="1"/>
      <c r="W16" s="1"/>
    </row>
    <row r="17" spans="1:41" ht="15" customHeight="1" x14ac:dyDescent="0.3">
      <c r="C17" s="21">
        <f>IF(DAY(MarNed1)=1,IF(AND(YEAR(MarNed1+15)=KalendárnyRok,MONTH(MarNed1+15)=3),MarNed1+15,""),IF(AND(YEAR(MarNed1+22)=KalendárnyRok,MONTH(MarNed1+22)=3),MarNed1+22,""))</f>
        <v>45005</v>
      </c>
      <c r="D17" s="21">
        <f>IF(DAY(MarNed1)=1,IF(AND(YEAR(MarNed1+16)=KalendárnyRok,MONTH(MarNed1+16)=3),MarNed1+16,""),IF(AND(YEAR(MarNed1+23)=KalendárnyRok,MONTH(MarNed1+23)=3),MarNed1+23,""))</f>
        <v>45006</v>
      </c>
      <c r="E17" s="21">
        <f>IF(DAY(MarNed1)=1,IF(AND(YEAR(MarNed1+17)=KalendárnyRok,MONTH(MarNed1+17)=3),MarNed1+17,""),IF(AND(YEAR(MarNed1+24)=KalendárnyRok,MONTH(MarNed1+24)=3),MarNed1+24,""))</f>
        <v>45007</v>
      </c>
      <c r="F17" s="27">
        <f>IF(DAY(MarNed1)=1,IF(AND(YEAR(MarNed1+18)=KalendárnyRok,MONTH(MarNed1+18)=3),MarNed1+18,""),IF(AND(YEAR(MarNed1+25)=KalendárnyRok,MONTH(MarNed1+25)=3),MarNed1+25,""))</f>
        <v>45008</v>
      </c>
      <c r="G17" s="21">
        <f>IF(DAY(MarNed1)=1,IF(AND(YEAR(MarNed1+19)=KalendárnyRok,MONTH(MarNed1+19)=3),MarNed1+19,""),IF(AND(YEAR(MarNed1+26)=KalendárnyRok,MONTH(MarNed1+26)=3),MarNed1+26,""))</f>
        <v>45009</v>
      </c>
      <c r="H17" s="21">
        <f>IF(DAY(MarNed1)=1,IF(AND(YEAR(MarNed1+20)=KalendárnyRok,MONTH(MarNed1+20)=3),MarNed1+20,""),IF(AND(YEAR(MarNed1+27)=KalendárnyRok,MONTH(MarNed1+27)=3),MarNed1+27,""))</f>
        <v>45010</v>
      </c>
      <c r="I17" s="21">
        <f>IF(DAY(MarNed1)=1,IF(AND(YEAR(MarNed1+21)=KalendárnyRok,MONTH(MarNed1+21)=3),MarNed1+21,""),IF(AND(YEAR(MarNed1+28)=KalendárnyRok,MONTH(MarNed1+28)=3),MarNed1+28,""))</f>
        <v>45011</v>
      </c>
      <c r="J17" s="21"/>
      <c r="K17" s="21">
        <f>IF(DAY(AprNed1)=1,IF(AND(YEAR(AprNed1+15)=KalendárnyRok,MONTH(AprNed1+15)=4),AprNed1+15,""),IF(AND(YEAR(AprNed1+22)=KalendárnyRok,MONTH(AprNed1+22)=4),AprNed1+22,""))</f>
        <v>45033</v>
      </c>
      <c r="L17" s="28">
        <f>IF(DAY(AprNed1)=1,IF(AND(YEAR(AprNed1+16)=KalendárnyRok,MONTH(AprNed1+16)=4),AprNed1+16,""),IF(AND(YEAR(AprNed1+23)=KalendárnyRok,MONTH(AprNed1+23)=4),AprNed1+23,""))</f>
        <v>45034</v>
      </c>
      <c r="M17" s="21">
        <f>IF(DAY(AprNed1)=1,IF(AND(YEAR(AprNed1+17)=KalendárnyRok,MONTH(AprNed1+17)=4),AprNed1+17,""),IF(AND(YEAR(AprNed1+24)=KalendárnyRok,MONTH(AprNed1+24)=4),AprNed1+24,""))</f>
        <v>45035</v>
      </c>
      <c r="N17" s="21">
        <f>IF(DAY(AprNed1)=1,IF(AND(YEAR(AprNed1+18)=KalendárnyRok,MONTH(AprNed1+18)=4),AprNed1+18,""),IF(AND(YEAR(AprNed1+25)=KalendárnyRok,MONTH(AprNed1+25)=4),AprNed1+25,""))</f>
        <v>45036</v>
      </c>
      <c r="O17" s="21">
        <f>IF(DAY(AprNed1)=1,IF(AND(YEAR(AprNed1+19)=KalendárnyRok,MONTH(AprNed1+19)=4),AprNed1+19,""),IF(AND(YEAR(AprNed1+26)=KalendárnyRok,MONTH(AprNed1+26)=4),AprNed1+26,""))</f>
        <v>45037</v>
      </c>
      <c r="P17" s="21">
        <f>IF(DAY(AprNed1)=1,IF(AND(YEAR(AprNed1+20)=KalendárnyRok,MONTH(AprNed1+20)=4),AprNed1+20,""),IF(AND(YEAR(AprNed1+27)=KalendárnyRok,MONTH(AprNed1+27)=4),AprNed1+27,""))</f>
        <v>45038</v>
      </c>
      <c r="Q17" s="21">
        <f>IF(DAY(AprNed1)=1,IF(AND(YEAR(AprNed1+21)=KalendárnyRok,MONTH(AprNed1+21)=4),AprNed1+21,""),IF(AND(YEAR(AprNed1+28)=KalendárnyRok,MONTH(AprNed1+28)=4),AprNed1+28,""))</f>
        <v>45039</v>
      </c>
      <c r="S17" s="3"/>
      <c r="U17" s="5"/>
      <c r="V17" s="1"/>
      <c r="W17" s="1"/>
    </row>
    <row r="18" spans="1:41" ht="15" customHeight="1" x14ac:dyDescent="0.3">
      <c r="C18" s="21">
        <f>IF(DAY(MarNed1)=1,IF(AND(YEAR(MarNed1+22)=KalendárnyRok,MONTH(MarNed1+22)=3),MarNed1+22,""),IF(AND(YEAR(MarNed1+29)=KalendárnyRok,MONTH(MarNed1+29)=3),MarNed1+29,""))</f>
        <v>45012</v>
      </c>
      <c r="D18" s="21">
        <f>IF(DAY(MarNed1)=1,IF(AND(YEAR(MarNed1+23)=KalendárnyRok,MONTH(MarNed1+23)=3),MarNed1+23,""),IF(AND(YEAR(MarNed1+30)=KalendárnyRok,MONTH(MarNed1+30)=3),MarNed1+30,""))</f>
        <v>45013</v>
      </c>
      <c r="E18" s="21">
        <f>IF(DAY(MarNed1)=1,IF(AND(YEAR(MarNed1+24)=KalendárnyRok,MONTH(MarNed1+24)=3),MarNed1+24,""),IF(AND(YEAR(MarNed1+31)=KalendárnyRok,MONTH(MarNed1+31)=3),MarNed1+31,""))</f>
        <v>45014</v>
      </c>
      <c r="F18" s="25">
        <f>IF(DAY(MarNed1)=1,IF(AND(YEAR(MarNed1+25)=KalendárnyRok,MONTH(MarNed1+25)=3),MarNed1+25,""),IF(AND(YEAR(MarNed1+32)=KalendárnyRok,MONTH(MarNed1+32)=3),MarNed1+32,""))</f>
        <v>45015</v>
      </c>
      <c r="G18" s="21">
        <f>IF(DAY(MarNed1)=1,IF(AND(YEAR(MarNed1+26)=KalendárnyRok,MONTH(MarNed1+26)=3),MarNed1+26,""),IF(AND(YEAR(MarNed1+33)=KalendárnyRok,MONTH(MarNed1+33)=3),MarNed1+33,""))</f>
        <v>45016</v>
      </c>
      <c r="H18" s="21" t="str">
        <f>IF(DAY(MarNed1)=1,IF(AND(YEAR(MarNed1+27)=KalendárnyRok,MONTH(MarNed1+27)=3),MarNed1+27,""),IF(AND(YEAR(MarNed1+34)=KalendárnyRok,MONTH(MarNed1+34)=3),MarNed1+34,""))</f>
        <v/>
      </c>
      <c r="I18" s="21" t="str">
        <f>IF(DAY(MarNed1)=1,IF(AND(YEAR(MarNed1+28)=KalendárnyRok,MONTH(MarNed1+28)=3),MarNed1+28,""),IF(AND(YEAR(MarNed1+35)=KalendárnyRok,MONTH(MarNed1+35)=3),MarNed1+35,""))</f>
        <v/>
      </c>
      <c r="J18" s="21"/>
      <c r="K18" s="33">
        <f>IF(DAY(AprNed1)=1,IF(AND(YEAR(AprNed1+22)=KalendárnyRok,MONTH(AprNed1+22)=4),AprNed1+22,""),IF(AND(YEAR(AprNed1+29)=KalendárnyRok,MONTH(AprNed1+29)=4),AprNed1+29,""))</f>
        <v>45040</v>
      </c>
      <c r="L18" s="33">
        <f>IF(DAY(AprNed1)=1,IF(AND(YEAR(AprNed1+23)=KalendárnyRok,MONTH(AprNed1+23)=4),AprNed1+23,""),IF(AND(YEAR(AprNed1+30)=KalendárnyRok,MONTH(AprNed1+30)=4),AprNed1+30,""))</f>
        <v>45041</v>
      </c>
      <c r="M18" s="33">
        <f>IF(DAY(AprNed1)=1,IF(AND(YEAR(AprNed1+24)=KalendárnyRok,MONTH(AprNed1+24)=4),AprNed1+24,""),IF(AND(YEAR(AprNed1+31)=KalendárnyRok,MONTH(AprNed1+31)=4),AprNed1+31,""))</f>
        <v>45042</v>
      </c>
      <c r="N18" s="35">
        <f>IF(DAY(AprNed1)=1,IF(AND(YEAR(AprNed1+25)=KalendárnyRok,MONTH(AprNed1+25)=4),AprNed1+25,""),IF(AND(YEAR(AprNed1+32)=KalendárnyRok,MONTH(AprNed1+32)=4),AprNed1+32,""))</f>
        <v>45043</v>
      </c>
      <c r="O18" s="33">
        <f>IF(DAY(AprNed1)=1,IF(AND(YEAR(AprNed1+26)=KalendárnyRok,MONTH(AprNed1+26)=4),AprNed1+26,""),IF(AND(YEAR(AprNed1+33)=KalendárnyRok,MONTH(AprNed1+33)=4),AprNed1+33,""))</f>
        <v>45044</v>
      </c>
      <c r="P18" s="33">
        <f>IF(DAY(AprNed1)=1,IF(AND(YEAR(AprNed1+27)=KalendárnyRok,MONTH(AprNed1+27)=4),AprNed1+27,""),IF(AND(YEAR(AprNed1+34)=KalendárnyRok,MONTH(AprNed1+34)=4),AprNed1+34,""))</f>
        <v>45045</v>
      </c>
      <c r="Q18" s="33">
        <f>IF(DAY(AprNed1)=1,IF(AND(YEAR(AprNed1+28)=KalendárnyRok,MONTH(AprNed1+28)=4),AprNed1+28,""),IF(AND(YEAR(AprNed1+35)=KalendárnyRok,MONTH(AprNed1+35)=4),AprNed1+35,""))</f>
        <v>45046</v>
      </c>
      <c r="S18" s="3"/>
      <c r="U18" s="6"/>
      <c r="V18" s="1"/>
      <c r="W18" s="1"/>
    </row>
    <row r="19" spans="1:41" ht="15" customHeight="1" x14ac:dyDescent="0.2">
      <c r="C19" s="21" t="str">
        <f>IF(DAY(MarNed1)=1,IF(AND(YEAR(MarNed1+29)=KalendárnyRok,MONTH(MarNed1+29)=3),MarNed1+29,""),IF(AND(YEAR(MarNed1+36)=KalendárnyRok,MONTH(MarNed1+36)=3),MarNed1+36,""))</f>
        <v/>
      </c>
      <c r="D19" s="21" t="str">
        <f>IF(DAY(MarNed1)=1,IF(AND(YEAR(MarNed1+30)=KalendárnyRok,MONTH(MarNed1+30)=3),MarNed1+30,""),IF(AND(YEAR(MarNed1+37)=KalendárnyRok,MONTH(MarNed1+37)=3),MarNed1+37,""))</f>
        <v/>
      </c>
      <c r="E19" s="21" t="str">
        <f>IF(DAY(MarNed1)=1,IF(AND(YEAR(MarNed1+31)=KalendárnyRok,MONTH(MarNed1+31)=3),MarNed1+31,""),IF(AND(YEAR(MarNed1+38)=KalendárnyRok,MONTH(MarNed1+38)=3),MarNed1+38,""))</f>
        <v/>
      </c>
      <c r="F19" s="21" t="str">
        <f>IF(DAY(MarNed1)=1,IF(AND(YEAR(MarNed1+32)=KalendárnyRok,MONTH(MarNed1+32)=3),MarNed1+32,""),IF(AND(YEAR(MarNed1+39)=KalendárnyRok,MONTH(MarNed1+39)=3),MarNed1+39,""))</f>
        <v/>
      </c>
      <c r="G19" s="21" t="str">
        <f>IF(DAY(MarNed1)=1,IF(AND(YEAR(MarNed1+33)=KalendárnyRok,MONTH(MarNed1+33)=3),MarNed1+33,""),IF(AND(YEAR(MarNed1+40)=KalendárnyRok,MONTH(MarNed1+40)=3),MarNed1+40,""))</f>
        <v/>
      </c>
      <c r="H19" s="21" t="str">
        <f>IF(DAY(MarNed1)=1,IF(AND(YEAR(MarNed1+34)=KalendárnyRok,MONTH(MarNed1+34)=3),MarNed1+34,""),IF(AND(YEAR(MarNed1+41)=KalendárnyRok,MONTH(MarNed1+41)=3),MarNed1+41,""))</f>
        <v/>
      </c>
      <c r="I19" s="21" t="str">
        <f>IF(DAY(MarNed1)=1,IF(AND(YEAR(MarNed1+35)=KalendárnyRok,MONTH(MarNed1+35)=3),MarNed1+35,""),IF(AND(YEAR(MarNed1+42)=KalendárnyRok,MONTH(MarNed1+42)=3),MarNed1+42,""))</f>
        <v/>
      </c>
      <c r="J19" s="21"/>
      <c r="K19" s="33" t="str">
        <f>IF(DAY(AprNed1)=1,IF(AND(YEAR(AprNed1+29)=KalendárnyRok,MONTH(AprNed1+29)=4),AprNed1+29,""),IF(AND(YEAR(AprNed1+36)=KalendárnyRok,MONTH(AprNed1+36)=4),AprNed1+36,""))</f>
        <v/>
      </c>
      <c r="L19" s="33" t="str">
        <f>IF(DAY(AprNed1)=1,IF(AND(YEAR(AprNed1+30)=KalendárnyRok,MONTH(AprNed1+30)=4),AprNed1+30,""),IF(AND(YEAR(AprNed1+37)=KalendárnyRok,MONTH(AprNed1+37)=4),AprNed1+37,""))</f>
        <v/>
      </c>
      <c r="M19" s="33" t="str">
        <f>IF(DAY(AprNed1)=1,IF(AND(YEAR(AprNed1+31)=KalendárnyRok,MONTH(AprNed1+31)=4),AprNed1+31,""),IF(AND(YEAR(AprNed1+38)=KalendárnyRok,MONTH(AprNed1+38)=4),AprNed1+38,""))</f>
        <v/>
      </c>
      <c r="N19" s="33" t="str">
        <f>IF(DAY(AprNed1)=1,IF(AND(YEAR(AprNed1+32)=KalendárnyRok,MONTH(AprNed1+32)=4),AprNed1+32,""),IF(AND(YEAR(AprNed1+39)=KalendárnyRok,MONTH(AprNed1+39)=4),AprNed1+39,""))</f>
        <v/>
      </c>
      <c r="O19" s="33" t="str">
        <f>IF(DAY(AprNed1)=1,IF(AND(YEAR(AprNed1+33)=KalendárnyRok,MONTH(AprNed1+33)=4),AprNed1+33,""),IF(AND(YEAR(AprNed1+40)=KalendárnyRok,MONTH(AprNed1+40)=4),AprNed1+40,""))</f>
        <v/>
      </c>
      <c r="P19" s="33" t="str">
        <f>IF(DAY(AprNed1)=1,IF(AND(YEAR(AprNed1+34)=KalendárnyRok,MONTH(AprNed1+34)=4),AprNed1+34,""),IF(AND(YEAR(AprNed1+41)=KalendárnyRok,MONTH(AprNed1+41)=4),AprNed1+41,""))</f>
        <v/>
      </c>
      <c r="Q19" s="33" t="str">
        <f>IF(DAY(AprNed1)=1,IF(AND(YEAR(AprNed1+35)=KalendárnyRok,MONTH(AprNed1+35)=4),AprNed1+35,""),IF(AND(YEAR(AprNed1+42)=KalendárnyRok,MONTH(AprNed1+42)=4),AprNed1+42,""))</f>
        <v/>
      </c>
      <c r="S19" s="3"/>
      <c r="U19" s="8"/>
      <c r="V19" s="1"/>
      <c r="W19" s="1"/>
    </row>
    <row r="20" spans="1:41" ht="15" customHeight="1" x14ac:dyDescent="0.2">
      <c r="J20" s="21"/>
      <c r="K20" s="36"/>
      <c r="L20" s="36"/>
      <c r="M20" s="36"/>
      <c r="N20" s="36"/>
      <c r="O20" s="36"/>
      <c r="P20" s="36"/>
      <c r="Q20" s="36"/>
      <c r="S20" s="3"/>
      <c r="U20" s="5"/>
      <c r="V20" s="1"/>
    </row>
    <row r="21" spans="1:41" ht="20.25" customHeight="1" x14ac:dyDescent="0.35">
      <c r="A21" s="15" t="s">
        <v>6</v>
      </c>
      <c r="C21" s="52" t="s">
        <v>21</v>
      </c>
      <c r="D21" s="52"/>
      <c r="E21" s="52"/>
      <c r="F21" s="52"/>
      <c r="G21" s="52"/>
      <c r="H21" s="52"/>
      <c r="I21" s="52"/>
      <c r="J21" s="21"/>
      <c r="K21" s="52" t="s">
        <v>33</v>
      </c>
      <c r="L21" s="52"/>
      <c r="M21" s="52"/>
      <c r="N21" s="52"/>
      <c r="O21" s="52"/>
      <c r="P21" s="52"/>
      <c r="Q21" s="52"/>
      <c r="S21" s="19"/>
      <c r="U21" s="46" t="s">
        <v>79</v>
      </c>
      <c r="X21" s="22"/>
      <c r="Y21" s="18"/>
      <c r="AA21" s="18"/>
      <c r="AB21" s="18"/>
      <c r="AC21" s="18"/>
      <c r="AD21" s="18"/>
      <c r="AE21" s="18"/>
      <c r="AF21" s="18"/>
      <c r="AG21" s="18"/>
      <c r="AI21" s="18"/>
      <c r="AJ21" s="18"/>
      <c r="AK21" s="18"/>
      <c r="AL21" s="18"/>
      <c r="AM21" s="18"/>
      <c r="AN21" s="18"/>
      <c r="AO21" s="18"/>
    </row>
    <row r="22" spans="1:41" ht="15" customHeight="1" x14ac:dyDescent="0.25">
      <c r="A22" s="15" t="s">
        <v>7</v>
      </c>
      <c r="C22" s="13" t="s">
        <v>19</v>
      </c>
      <c r="D22" s="13" t="s">
        <v>25</v>
      </c>
      <c r="E22" s="51" t="s">
        <v>26</v>
      </c>
      <c r="F22" s="51" t="s">
        <v>27</v>
      </c>
      <c r="G22" s="13" t="s">
        <v>28</v>
      </c>
      <c r="H22" s="13" t="s">
        <v>29</v>
      </c>
      <c r="I22" s="13" t="s">
        <v>30</v>
      </c>
      <c r="J22" s="22"/>
      <c r="K22" s="13" t="s">
        <v>19</v>
      </c>
      <c r="L22" s="13" t="s">
        <v>25</v>
      </c>
      <c r="M22" s="51" t="s">
        <v>26</v>
      </c>
      <c r="N22" s="51" t="s">
        <v>27</v>
      </c>
      <c r="O22" s="13" t="s">
        <v>28</v>
      </c>
      <c r="P22" s="13" t="s">
        <v>29</v>
      </c>
      <c r="Q22" s="13" t="s">
        <v>30</v>
      </c>
      <c r="S22" s="3"/>
      <c r="U22" s="44" t="s">
        <v>76</v>
      </c>
      <c r="V22" s="1"/>
      <c r="W22" s="1"/>
    </row>
    <row r="23" spans="1:41" ht="15" customHeight="1" x14ac:dyDescent="0.3">
      <c r="A23" s="15"/>
      <c r="C23" s="21">
        <f>IF(DAY(MájNed1)=1,"",IF(AND(YEAR(MájNed1+1)=KalendárnyRok,MONTH(MájNed1+1)=5),MájNed1+1,""))</f>
        <v>45047</v>
      </c>
      <c r="D23" s="21">
        <f>IF(DAY(MájNed1)=1,"",IF(AND(YEAR(MájNed1+2)=KalendárnyRok,MONTH(MájNed1+2)=5),MájNed1+2,""))</f>
        <v>45048</v>
      </c>
      <c r="E23" s="29">
        <f>IF(DAY(MájNed1)=1,"",IF(AND(YEAR(MájNed1+3)=KalendárnyRok,MONTH(MájNed1+3)=5),MájNed1+3,""))</f>
        <v>45049</v>
      </c>
      <c r="F23" s="21">
        <f>IF(DAY(MájNed1)=1,"",IF(AND(YEAR(MájNed1+4)=KalendárnyRok,MONTH(MájNed1+4)=5),MájNed1+4,""))</f>
        <v>45050</v>
      </c>
      <c r="G23" s="21">
        <f>IF(DAY(MájNed1)=1,"",IF(AND(YEAR(MájNed1+5)=KalendárnyRok,MONTH(MájNed1+5)=5),MájNed1+5,""))</f>
        <v>45051</v>
      </c>
      <c r="H23" s="21">
        <f>IF(DAY(MájNed1)=1,"",IF(AND(YEAR(MájNed1+6)=KalendárnyRok,MONTH(MájNed1+6)=5),MájNed1+6,""))</f>
        <v>45052</v>
      </c>
      <c r="I23" s="21">
        <f>IF(DAY(MájNed1)=1,IF(AND(YEAR(MájNed1)=KalendárnyRok,MONTH(MájNed1)=5),MájNed1,""),IF(AND(YEAR(MájNed1+7)=KalendárnyRok,MONTH(MájNed1+7)=5),MájNed1+7,""))</f>
        <v>45053</v>
      </c>
      <c r="J23" s="2"/>
      <c r="K23" s="21" t="str">
        <f>IF(DAY(JúnNed1)=1,"",IF(AND(YEAR(JúnNed1+1)=KalendárnyRok,MONTH(JúnNed1+1)=6),JúnNed1+1,""))</f>
        <v/>
      </c>
      <c r="L23" s="21" t="str">
        <f>IF(DAY(JúnNed1)=1,"",IF(AND(YEAR(JúnNed1+2)=KalendárnyRok,MONTH(JúnNed1+2)=6),JúnNed1+2,""))</f>
        <v/>
      </c>
      <c r="M23" s="21" t="str">
        <f>IF(DAY(JúnNed1)=1,"",IF(AND(YEAR(JúnNed1+3)=KalendárnyRok,MONTH(JúnNed1+3)=6),JúnNed1+3,""))</f>
        <v/>
      </c>
      <c r="N23" s="21">
        <f>IF(DAY(JúnNed1)=1,"",IF(AND(YEAR(JúnNed1+4)=KalendárnyRok,MONTH(JúnNed1+4)=6),JúnNed1+4,""))</f>
        <v>45078</v>
      </c>
      <c r="O23" s="21">
        <f>IF(DAY(JúnNed1)=1,"",IF(AND(YEAR(JúnNed1+5)=KalendárnyRok,MONTH(JúnNed1+5)=6),JúnNed1+5,""))</f>
        <v>45079</v>
      </c>
      <c r="P23" s="21">
        <f>IF(DAY(JúnNed1)=1,"",IF(AND(YEAR(JúnNed1+6)=KalendárnyRok,MONTH(JúnNed1+6)=6),JúnNed1+6,""))</f>
        <v>45080</v>
      </c>
      <c r="Q23" s="21">
        <f>IF(DAY(JúnNed1)=1,IF(AND(YEAR(JúnNed1)=KalendárnyRok,MONTH(JúnNed1)=6),JúnNed1,""),IF(AND(YEAR(JúnNed1+7)=KalendárnyRok,MONTH(JúnNed1+7)=6),JúnNed1+7,""))</f>
        <v>45081</v>
      </c>
      <c r="S23" s="3"/>
      <c r="U23" s="45" t="s">
        <v>50</v>
      </c>
      <c r="V23" s="1"/>
      <c r="W23" s="1"/>
    </row>
    <row r="24" spans="1:41" ht="15" customHeight="1" x14ac:dyDescent="0.3">
      <c r="C24" s="21">
        <f>IF(DAY(MájNed1)=1,IF(AND(YEAR(MájNed1+1)=KalendárnyRok,MONTH(MájNed1+1)=5),MájNed1+1,""),IF(AND(YEAR(MájNed1+8)=KalendárnyRok,MONTH(MájNed1+8)=5),MájNed1+8,""))</f>
        <v>45054</v>
      </c>
      <c r="D24" s="21">
        <f>IF(DAY(MájNed1)=1,IF(AND(YEAR(MájNed1+2)=KalendárnyRok,MONTH(MájNed1+2)=5),MájNed1+2,""),IF(AND(YEAR(MájNed1+9)=KalendárnyRok,MONTH(MájNed1+9)=5),MájNed1+9,""))</f>
        <v>45055</v>
      </c>
      <c r="E24" s="21">
        <f>IF(DAY(MájNed1)=1,IF(AND(YEAR(MájNed1+3)=KalendárnyRok,MONTH(MájNed1+3)=5),MájNed1+3,""),IF(AND(YEAR(MájNed1+10)=KalendárnyRok,MONTH(MájNed1+10)=5),MájNed1+10,""))</f>
        <v>45056</v>
      </c>
      <c r="F24" s="25">
        <f>IF(DAY(MájNed1)=1,IF(AND(YEAR(MájNed1+4)=KalendárnyRok,MONTH(MájNed1+4)=5),MájNed1+4,""),IF(AND(YEAR(MájNed1+11)=KalendárnyRok,MONTH(MájNed1+11)=5),MájNed1+11,""))</f>
        <v>45057</v>
      </c>
      <c r="G24" s="21">
        <f>IF(DAY(MájNed1)=1,IF(AND(YEAR(MájNed1+5)=KalendárnyRok,MONTH(MájNed1+5)=5),MájNed1+5,""),IF(AND(YEAR(MájNed1+12)=KalendárnyRok,MONTH(MájNed1+12)=5),MájNed1+12,""))</f>
        <v>45058</v>
      </c>
      <c r="H24" s="21">
        <f>IF(DAY(MájNed1)=1,IF(AND(YEAR(MájNed1+6)=KalendárnyRok,MONTH(MájNed1+6)=5),MájNed1+6,""),IF(AND(YEAR(MájNed1+13)=KalendárnyRok,MONTH(MájNed1+13)=5),MájNed1+13,""))</f>
        <v>45059</v>
      </c>
      <c r="I24" s="21">
        <f>IF(DAY(MájNed1)=1,IF(AND(YEAR(MájNed1+7)=KalendárnyRok,MONTH(MájNed1+7)=5),MájNed1+7,""),IF(AND(YEAR(MájNed1+14)=KalendárnyRok,MONTH(MájNed1+14)=5),MájNed1+14,""))</f>
        <v>45060</v>
      </c>
      <c r="J24" s="1"/>
      <c r="K24" s="21">
        <f>IF(DAY(JúnNed1)=1,IF(AND(YEAR(JúnNed1+1)=KalendárnyRok,MONTH(JúnNed1+1)=6),JúnNed1+1,""),IF(AND(YEAR(JúnNed1+8)=KalendárnyRok,MONTH(JúnNed1+8)=6),JúnNed1+8,""))</f>
        <v>45082</v>
      </c>
      <c r="L24" s="21">
        <f>IF(DAY(JúnNed1)=1,IF(AND(YEAR(JúnNed1+2)=KalendárnyRok,MONTH(JúnNed1+2)=6),JúnNed1+2,""),IF(AND(YEAR(JúnNed1+9)=KalendárnyRok,MONTH(JúnNed1+9)=6),JúnNed1+9,""))</f>
        <v>45083</v>
      </c>
      <c r="M24" s="31">
        <f>IF(DAY(JúnNed1)=1,IF(AND(YEAR(JúnNed1+3)=KalendárnyRok,MONTH(JúnNed1+3)=6),JúnNed1+3,""),IF(AND(YEAR(JúnNed1+10)=KalendárnyRok,MONTH(JúnNed1+10)=6),JúnNed1+10,""))</f>
        <v>45084</v>
      </c>
      <c r="N24" s="25">
        <f>IF(DAY(JúnNed1)=1,IF(AND(YEAR(JúnNed1+4)=KalendárnyRok,MONTH(JúnNed1+4)=6),JúnNed1+4,""),IF(AND(YEAR(JúnNed1+11)=KalendárnyRok,MONTH(JúnNed1+11)=6),JúnNed1+11,""))</f>
        <v>45085</v>
      </c>
      <c r="O24" s="21">
        <f>IF(DAY(JúnNed1)=1,IF(AND(YEAR(JúnNed1+5)=KalendárnyRok,MONTH(JúnNed1+5)=6),JúnNed1+5,""),IF(AND(YEAR(JúnNed1+12)=KalendárnyRok,MONTH(JúnNed1+12)=6),JúnNed1+12,""))</f>
        <v>45086</v>
      </c>
      <c r="P24" s="21">
        <f>IF(DAY(JúnNed1)=1,IF(AND(YEAR(JúnNed1+6)=KalendárnyRok,MONTH(JúnNed1+6)=6),JúnNed1+6,""),IF(AND(YEAR(JúnNed1+13)=KalendárnyRok,MONTH(JúnNed1+13)=6),JúnNed1+13,""))</f>
        <v>45087</v>
      </c>
      <c r="Q24" s="21">
        <f>IF(DAY(JúnNed1)=1,IF(AND(YEAR(JúnNed1+7)=KalendárnyRok,MONTH(JúnNed1+7)=6),JúnNed1+7,""),IF(AND(YEAR(JúnNed1+14)=KalendárnyRok,MONTH(JúnNed1+14)=6),JúnNed1+14,""))</f>
        <v>45088</v>
      </c>
      <c r="S24" s="3"/>
      <c r="U24" s="45" t="s">
        <v>51</v>
      </c>
      <c r="V24" s="1"/>
      <c r="W24" s="1"/>
    </row>
    <row r="25" spans="1:41" ht="15" customHeight="1" x14ac:dyDescent="0.3">
      <c r="C25" s="21">
        <f>IF(DAY(MájNed1)=1,IF(AND(YEAR(MájNed1+8)=KalendárnyRok,MONTH(MájNed1+8)=5),MájNed1+8,""),IF(AND(YEAR(MájNed1+15)=KalendárnyRok,MONTH(MájNed1+15)=5),MájNed1+15,""))</f>
        <v>45061</v>
      </c>
      <c r="D25" s="28">
        <f>IF(DAY(MájNed1)=1,IF(AND(YEAR(MájNed1+9)=KalendárnyRok,MONTH(MájNed1+9)=5),MájNed1+9,""),IF(AND(YEAR(MájNed1+16)=KalendárnyRok,MONTH(MájNed1+16)=5),MájNed1+16,""))</f>
        <v>45062</v>
      </c>
      <c r="E25" s="21">
        <f>IF(DAY(MájNed1)=1,IF(AND(YEAR(MájNed1+10)=KalendárnyRok,MONTH(MájNed1+10)=5),MájNed1+10,""),IF(AND(YEAR(MájNed1+17)=KalendárnyRok,MONTH(MájNed1+17)=5),MájNed1+17,""))</f>
        <v>45063</v>
      </c>
      <c r="F25" s="21">
        <f>IF(DAY(MájNed1)=1,IF(AND(YEAR(MájNed1+11)=KalendárnyRok,MONTH(MájNed1+11)=5),MájNed1+11,""),IF(AND(YEAR(MájNed1+18)=KalendárnyRok,MONTH(MájNed1+18)=5),MájNed1+18,""))</f>
        <v>45064</v>
      </c>
      <c r="G25" s="21">
        <f>IF(DAY(MájNed1)=1,IF(AND(YEAR(MájNed1+12)=KalendárnyRok,MONTH(MájNed1+12)=5),MájNed1+12,""),IF(AND(YEAR(MájNed1+19)=KalendárnyRok,MONTH(MájNed1+19)=5),MájNed1+19,""))</f>
        <v>45065</v>
      </c>
      <c r="H25" s="21">
        <f>IF(DAY(MájNed1)=1,IF(AND(YEAR(MájNed1+13)=KalendárnyRok,MONTH(MájNed1+13)=5),MájNed1+13,""),IF(AND(YEAR(MájNed1+20)=KalendárnyRok,MONTH(MájNed1+20)=5),MájNed1+20,""))</f>
        <v>45066</v>
      </c>
      <c r="I25" s="21">
        <f>IF(DAY(MájNed1)=1,IF(AND(YEAR(MájNed1+14)=KalendárnyRok,MONTH(MájNed1+14)=5),MájNed1+14,""),IF(AND(YEAR(MájNed1+21)=KalendárnyRok,MONTH(MájNed1+21)=5),MájNed1+21,""))</f>
        <v>45067</v>
      </c>
      <c r="J25" s="21"/>
      <c r="K25" s="21">
        <f>IF(DAY(JúnNed1)=1,IF(AND(YEAR(JúnNed1+8)=KalendárnyRok,MONTH(JúnNed1+8)=6),JúnNed1+8,""),IF(AND(YEAR(JúnNed1+15)=KalendárnyRok,MONTH(JúnNed1+15)=6),JúnNed1+15,""))</f>
        <v>45089</v>
      </c>
      <c r="L25" s="28">
        <f>IF(DAY(JúnNed1)=1,IF(AND(YEAR(JúnNed1+9)=KalendárnyRok,MONTH(JúnNed1+9)=6),JúnNed1+9,""),IF(AND(YEAR(JúnNed1+16)=KalendárnyRok,MONTH(JúnNed1+16)=6),JúnNed1+16,""))</f>
        <v>45090</v>
      </c>
      <c r="M25" s="21">
        <f>IF(DAY(JúnNed1)=1,IF(AND(YEAR(JúnNed1+10)=KalendárnyRok,MONTH(JúnNed1+10)=6),JúnNed1+10,""),IF(AND(YEAR(JúnNed1+17)=KalendárnyRok,MONTH(JúnNed1+17)=6),JúnNed1+17,""))</f>
        <v>45091</v>
      </c>
      <c r="N25" s="21">
        <f>IF(DAY(JúnNed1)=1,IF(AND(YEAR(JúnNed1+11)=KalendárnyRok,MONTH(JúnNed1+11)=6),JúnNed1+11,""),IF(AND(YEAR(JúnNed1+18)=KalendárnyRok,MONTH(JúnNed1+18)=6),JúnNed1+18,""))</f>
        <v>45092</v>
      </c>
      <c r="O25" s="21">
        <f>IF(DAY(JúnNed1)=1,IF(AND(YEAR(JúnNed1+12)=KalendárnyRok,MONTH(JúnNed1+12)=6),JúnNed1+12,""),IF(AND(YEAR(JúnNed1+19)=KalendárnyRok,MONTH(JúnNed1+19)=6),JúnNed1+19,""))</f>
        <v>45093</v>
      </c>
      <c r="P25" s="21">
        <f>IF(DAY(JúnNed1)=1,IF(AND(YEAR(JúnNed1+13)=KalendárnyRok,MONTH(JúnNed1+13)=6),JúnNed1+13,""),IF(AND(YEAR(JúnNed1+20)=KalendárnyRok,MONTH(JúnNed1+20)=6),JúnNed1+20,""))</f>
        <v>45094</v>
      </c>
      <c r="Q25" s="21">
        <f>IF(DAY(JúnNed1)=1,IF(AND(YEAR(JúnNed1+14)=KalendárnyRok,MONTH(JúnNed1+14)=6),JúnNed1+14,""),IF(AND(YEAR(JúnNed1+21)=KalendárnyRok,MONTH(JúnNed1+21)=6),JúnNed1+21,""))</f>
        <v>45095</v>
      </c>
      <c r="S25" s="3"/>
      <c r="U25" s="45" t="s">
        <v>52</v>
      </c>
      <c r="V25" s="1"/>
      <c r="W25" s="1"/>
    </row>
    <row r="26" spans="1:41" ht="15" customHeight="1" x14ac:dyDescent="0.3">
      <c r="C26" s="21">
        <f>IF(DAY(MájNed1)=1,IF(AND(YEAR(MájNed1+15)=KalendárnyRok,MONTH(MájNed1+15)=5),MájNed1+15,""),IF(AND(YEAR(MájNed1+22)=KalendárnyRok,MONTH(MájNed1+22)=5),MájNed1+22,""))</f>
        <v>45068</v>
      </c>
      <c r="D26" s="21">
        <f>IF(DAY(MájNed1)=1,IF(AND(YEAR(MájNed1+16)=KalendárnyRok,MONTH(MájNed1+16)=5),MájNed1+16,""),IF(AND(YEAR(MájNed1+23)=KalendárnyRok,MONTH(MájNed1+23)=5),MájNed1+23,""))</f>
        <v>45069</v>
      </c>
      <c r="E26" s="21">
        <f>IF(DAY(MájNed1)=1,IF(AND(YEAR(MájNed1+17)=KalendárnyRok,MONTH(MájNed1+17)=5),MájNed1+17,""),IF(AND(YEAR(MájNed1+24)=KalendárnyRok,MONTH(MájNed1+24)=5),MájNed1+24,""))</f>
        <v>45070</v>
      </c>
      <c r="F26" s="25">
        <f>IF(DAY(MájNed1)=1,IF(AND(YEAR(MájNed1+18)=KalendárnyRok,MONTH(MájNed1+18)=5),MájNed1+18,""),IF(AND(YEAR(MájNed1+25)=KalendárnyRok,MONTH(MájNed1+25)=5),MájNed1+25,""))</f>
        <v>45071</v>
      </c>
      <c r="G26" s="21">
        <f>IF(DAY(MájNed1)=1,IF(AND(YEAR(MájNed1+19)=KalendárnyRok,MONTH(MájNed1+19)=5),MájNed1+19,""),IF(AND(YEAR(MájNed1+26)=KalendárnyRok,MONTH(MájNed1+26)=5),MájNed1+26,""))</f>
        <v>45072</v>
      </c>
      <c r="H26" s="21">
        <f>IF(DAY(MájNed1)=1,IF(AND(YEAR(MájNed1+20)=KalendárnyRok,MONTH(MájNed1+20)=5),MájNed1+20,""),IF(AND(YEAR(MájNed1+27)=KalendárnyRok,MONTH(MájNed1+27)=5),MájNed1+27,""))</f>
        <v>45073</v>
      </c>
      <c r="I26" s="21">
        <f>IF(DAY(MájNed1)=1,IF(AND(YEAR(MájNed1+21)=KalendárnyRok,MONTH(MájNed1+21)=5),MájNed1+21,""),IF(AND(YEAR(MájNed1+28)=KalendárnyRok,MONTH(MájNed1+28)=5),MájNed1+28,""))</f>
        <v>45074</v>
      </c>
      <c r="J26" s="21"/>
      <c r="K26" s="21">
        <f>IF(DAY(JúnNed1)=1,IF(AND(YEAR(JúnNed1+15)=KalendárnyRok,MONTH(JúnNed1+15)=6),JúnNed1+15,""),IF(AND(YEAR(JúnNed1+22)=KalendárnyRok,MONTH(JúnNed1+22)=6),JúnNed1+22,""))</f>
        <v>45096</v>
      </c>
      <c r="L26" s="21">
        <f>IF(DAY(JúnNed1)=1,IF(AND(YEAR(JúnNed1+16)=KalendárnyRok,MONTH(JúnNed1+16)=6),JúnNed1+16,""),IF(AND(YEAR(JúnNed1+23)=KalendárnyRok,MONTH(JúnNed1+23)=6),JúnNed1+23,""))</f>
        <v>45097</v>
      </c>
      <c r="M26" s="21">
        <f>IF(DAY(JúnNed1)=1,IF(AND(YEAR(JúnNed1+17)=KalendárnyRok,MONTH(JúnNed1+17)=6),JúnNed1+17,""),IF(AND(YEAR(JúnNed1+24)=KalendárnyRok,MONTH(JúnNed1+24)=6),JúnNed1+24,""))</f>
        <v>45098</v>
      </c>
      <c r="N26" s="25">
        <f>IF(DAY(JúnNed1)=1,IF(AND(YEAR(JúnNed1+18)=KalendárnyRok,MONTH(JúnNed1+18)=6),JúnNed1+18,""),IF(AND(YEAR(JúnNed1+25)=KalendárnyRok,MONTH(JúnNed1+25)=6),JúnNed1+25,""))</f>
        <v>45099</v>
      </c>
      <c r="O26" s="21">
        <f>IF(DAY(JúnNed1)=1,IF(AND(YEAR(JúnNed1+19)=KalendárnyRok,MONTH(JúnNed1+19)=6),JúnNed1+19,""),IF(AND(YEAR(JúnNed1+26)=KalendárnyRok,MONTH(JúnNed1+26)=6),JúnNed1+26,""))</f>
        <v>45100</v>
      </c>
      <c r="P26" s="21">
        <f>IF(DAY(JúnNed1)=1,IF(AND(YEAR(JúnNed1+20)=KalendárnyRok,MONTH(JúnNed1+20)=6),JúnNed1+20,""),IF(AND(YEAR(JúnNed1+27)=KalendárnyRok,MONTH(JúnNed1+27)=6),JúnNed1+27,""))</f>
        <v>45101</v>
      </c>
      <c r="Q26" s="21">
        <f>IF(DAY(JúnNed1)=1,IF(AND(YEAR(JúnNed1+21)=KalendárnyRok,MONTH(JúnNed1+21)=6),JúnNed1+21,""),IF(AND(YEAR(JúnNed1+28)=KalendárnyRok,MONTH(JúnNed1+28)=6),JúnNed1+28,""))</f>
        <v>45102</v>
      </c>
      <c r="S26" s="3"/>
      <c r="U26" s="45" t="s">
        <v>53</v>
      </c>
      <c r="V26" s="1"/>
      <c r="W26" s="1"/>
    </row>
    <row r="27" spans="1:41" ht="15" customHeight="1" x14ac:dyDescent="0.25">
      <c r="C27" s="21">
        <f>IF(DAY(MájNed1)=1,IF(AND(YEAR(MájNed1+22)=KalendárnyRok,MONTH(MájNed1+22)=5),MájNed1+22,""),IF(AND(YEAR(MájNed1+29)=KalendárnyRok,MONTH(MájNed1+29)=5),MájNed1+29,""))</f>
        <v>45075</v>
      </c>
      <c r="D27" s="21">
        <f>IF(DAY(MájNed1)=1,IF(AND(YEAR(MájNed1+23)=KalendárnyRok,MONTH(MájNed1+23)=5),MájNed1+23,""),IF(AND(YEAR(MájNed1+30)=KalendárnyRok,MONTH(MájNed1+30)=5),MájNed1+30,""))</f>
        <v>45076</v>
      </c>
      <c r="E27" s="21">
        <f>IF(DAY(MájNed1)=1,IF(AND(YEAR(MájNed1+24)=KalendárnyRok,MONTH(MájNed1+24)=5),MájNed1+24,""),IF(AND(YEAR(MájNed1+31)=KalendárnyRok,MONTH(MájNed1+31)=5),MájNed1+31,""))</f>
        <v>45077</v>
      </c>
      <c r="F27" s="21" t="str">
        <f>IF(DAY(MájNed1)=1,IF(AND(YEAR(MájNed1+25)=KalendárnyRok,MONTH(MájNed1+25)=5),MájNed1+25,""),IF(AND(YEAR(MájNed1+32)=KalendárnyRok,MONTH(MájNed1+32)=5),MájNed1+32,""))</f>
        <v/>
      </c>
      <c r="G27" s="21" t="str">
        <f>IF(DAY(MájNed1)=1,IF(AND(YEAR(MájNed1+26)=KalendárnyRok,MONTH(MájNed1+26)=5),MájNed1+26,""),IF(AND(YEAR(MájNed1+33)=KalendárnyRok,MONTH(MájNed1+33)=5),MájNed1+33,""))</f>
        <v/>
      </c>
      <c r="H27" s="21" t="str">
        <f>IF(DAY(MájNed1)=1,IF(AND(YEAR(MájNed1+27)=KalendárnyRok,MONTH(MájNed1+27)=5),MájNed1+27,""),IF(AND(YEAR(MájNed1+34)=KalendárnyRok,MONTH(MájNed1+34)=5),MájNed1+34,""))</f>
        <v/>
      </c>
      <c r="I27" s="21" t="str">
        <f>IF(DAY(MájNed1)=1,IF(AND(YEAR(MájNed1+28)=KalendárnyRok,MONTH(MájNed1+28)=5),MájNed1+28,""),IF(AND(YEAR(MájNed1+35)=KalendárnyRok,MONTH(MájNed1+35)=5),MájNed1+35,""))</f>
        <v/>
      </c>
      <c r="J27" s="21"/>
      <c r="K27" s="21">
        <f>IF(DAY(JúnNed1)=1,IF(AND(YEAR(JúnNed1+22)=KalendárnyRok,MONTH(JúnNed1+22)=6),JúnNed1+22,""),IF(AND(YEAR(JúnNed1+29)=KalendárnyRok,MONTH(JúnNed1+29)=6),JúnNed1+29,""))</f>
        <v>45103</v>
      </c>
      <c r="L27" s="21">
        <f>IF(DAY(JúnNed1)=1,IF(AND(YEAR(JúnNed1+23)=KalendárnyRok,MONTH(JúnNed1+23)=6),JúnNed1+23,""),IF(AND(YEAR(JúnNed1+30)=KalendárnyRok,MONTH(JúnNed1+30)=6),JúnNed1+30,""))</f>
        <v>45104</v>
      </c>
      <c r="M27" s="21">
        <f>IF(DAY(JúnNed1)=1,IF(AND(YEAR(JúnNed1+24)=KalendárnyRok,MONTH(JúnNed1+24)=6),JúnNed1+24,""),IF(AND(YEAR(JúnNed1+31)=KalendárnyRok,MONTH(JúnNed1+31)=6),JúnNed1+31,""))</f>
        <v>45105</v>
      </c>
      <c r="N27" s="21">
        <f>IF(DAY(JúnNed1)=1,IF(AND(YEAR(JúnNed1+25)=KalendárnyRok,MONTH(JúnNed1+25)=6),JúnNed1+25,""),IF(AND(YEAR(JúnNed1+32)=KalendárnyRok,MONTH(JúnNed1+32)=6),JúnNed1+32,""))</f>
        <v>45106</v>
      </c>
      <c r="O27" s="21">
        <f>IF(DAY(JúnNed1)=1,IF(AND(YEAR(JúnNed1+26)=KalendárnyRok,MONTH(JúnNed1+26)=6),JúnNed1+26,""),IF(AND(YEAR(JúnNed1+33)=KalendárnyRok,MONTH(JúnNed1+33)=6),JúnNed1+33,""))</f>
        <v>45107</v>
      </c>
      <c r="P27" s="21" t="str">
        <f>IF(DAY(JúnNed1)=1,IF(AND(YEAR(JúnNed1+27)=KalendárnyRok,MONTH(JúnNed1+27)=6),JúnNed1+27,""),IF(AND(YEAR(JúnNed1+34)=KalendárnyRok,MONTH(JúnNed1+34)=6),JúnNed1+34,""))</f>
        <v/>
      </c>
      <c r="Q27" s="21" t="str">
        <f>IF(DAY(JúnNed1)=1,IF(AND(YEAR(JúnNed1+28)=KalendárnyRok,MONTH(JúnNed1+28)=6),JúnNed1+28,""),IF(AND(YEAR(JúnNed1+35)=KalendárnyRok,MONTH(JúnNed1+35)=6),JúnNed1+35,""))</f>
        <v/>
      </c>
      <c r="S27" s="3"/>
      <c r="U27" s="45" t="s">
        <v>54</v>
      </c>
      <c r="V27" s="1"/>
      <c r="W27" s="1"/>
    </row>
    <row r="28" spans="1:41" ht="15" customHeight="1" x14ac:dyDescent="0.25">
      <c r="C28" s="21" t="str">
        <f>IF(DAY(MájNed1)=1,IF(AND(YEAR(MájNed1+29)=KalendárnyRok,MONTH(MájNed1+29)=5),MájNed1+29,""),IF(AND(YEAR(MájNed1+36)=KalendárnyRok,MONTH(MájNed1+36)=5),MájNed1+36,""))</f>
        <v/>
      </c>
      <c r="D28" s="21" t="str">
        <f>IF(DAY(MájNed1)=1,IF(AND(YEAR(MájNed1+30)=KalendárnyRok,MONTH(MájNed1+30)=5),MájNed1+30,""),IF(AND(YEAR(MájNed1+37)=KalendárnyRok,MONTH(MájNed1+37)=5),MájNed1+37,""))</f>
        <v/>
      </c>
      <c r="E28" s="21" t="str">
        <f>IF(DAY(MájNed1)=1,IF(AND(YEAR(MájNed1+31)=KalendárnyRok,MONTH(MájNed1+31)=5),MájNed1+31,""),IF(AND(YEAR(MájNed1+38)=KalendárnyRok,MONTH(MájNed1+38)=5),MájNed1+38,""))</f>
        <v/>
      </c>
      <c r="F28" s="21" t="str">
        <f>IF(DAY(MájNed1)=1,IF(AND(YEAR(MájNed1+32)=KalendárnyRok,MONTH(MájNed1+32)=5),MájNed1+32,""),IF(AND(YEAR(MájNed1+39)=KalendárnyRok,MONTH(MájNed1+39)=5),MájNed1+39,""))</f>
        <v/>
      </c>
      <c r="G28" s="21" t="str">
        <f>IF(DAY(MájNed1)=1,IF(AND(YEAR(MájNed1+33)=KalendárnyRok,MONTH(MájNed1+33)=5),MájNed1+33,""),IF(AND(YEAR(MájNed1+40)=KalendárnyRok,MONTH(MájNed1+40)=5),MájNed1+40,""))</f>
        <v/>
      </c>
      <c r="H28" s="21" t="str">
        <f>IF(DAY(MájNed1)=1,IF(AND(YEAR(MájNed1+34)=KalendárnyRok,MONTH(MájNed1+34)=5),MájNed1+34,""),IF(AND(YEAR(MájNed1+41)=KalendárnyRok,MONTH(MájNed1+41)=5),MájNed1+41,""))</f>
        <v/>
      </c>
      <c r="I28" s="21" t="str">
        <f>IF(DAY(MájNed1)=1,IF(AND(YEAR(MájNed1+35)=KalendárnyRok,MONTH(MájNed1+35)=5),MájNed1+35,""),IF(AND(YEAR(MájNed1+42)=KalendárnyRok,MONTH(MájNed1+42)=5),MájNed1+42,""))</f>
        <v/>
      </c>
      <c r="J28" s="21"/>
      <c r="K28" s="21" t="str">
        <f>IF(DAY(JúnNed1)=1,IF(AND(YEAR(JúnNed1+29)=KalendárnyRok,MONTH(JúnNed1+29)=6),JúnNed1+29,""),IF(AND(YEAR(JúnNed1+36)=KalendárnyRok,MONTH(JúnNed1+36)=6),JúnNed1+36,""))</f>
        <v/>
      </c>
      <c r="L28" s="21" t="str">
        <f>IF(DAY(JúnNed1)=1,IF(AND(YEAR(JúnNed1+30)=KalendárnyRok,MONTH(JúnNed1+30)=6),JúnNed1+30,""),IF(AND(YEAR(JúnNed1+37)=KalendárnyRok,MONTH(JúnNed1+37)=6),JúnNed1+37,""))</f>
        <v/>
      </c>
      <c r="M28" s="21" t="str">
        <f>IF(DAY(JúnNed1)=1,IF(AND(YEAR(JúnNed1+31)=KalendárnyRok,MONTH(JúnNed1+31)=6),JúnNed1+31,""),IF(AND(YEAR(JúnNed1+38)=KalendárnyRok,MONTH(JúnNed1+38)=6),JúnNed1+38,""))</f>
        <v/>
      </c>
      <c r="N28" s="21" t="str">
        <f>IF(DAY(JúnNed1)=1,IF(AND(YEAR(JúnNed1+32)=KalendárnyRok,MONTH(JúnNed1+32)=6),JúnNed1+32,""),IF(AND(YEAR(JúnNed1+39)=KalendárnyRok,MONTH(JúnNed1+39)=6),JúnNed1+39,""))</f>
        <v/>
      </c>
      <c r="O28" s="21" t="str">
        <f>IF(DAY(JúnNed1)=1,IF(AND(YEAR(JúnNed1+33)=KalendárnyRok,MONTH(JúnNed1+33)=6),JúnNed1+33,""),IF(AND(YEAR(JúnNed1+40)=KalendárnyRok,MONTH(JúnNed1+40)=6),JúnNed1+40,""))</f>
        <v/>
      </c>
      <c r="P28" s="21" t="str">
        <f>IF(DAY(JúnNed1)=1,IF(AND(YEAR(JúnNed1+34)=KalendárnyRok,MONTH(JúnNed1+34)=6),JúnNed1+34,""),IF(AND(YEAR(JúnNed1+41)=KalendárnyRok,MONTH(JúnNed1+41)=6),JúnNed1+41,""))</f>
        <v/>
      </c>
      <c r="Q28" s="21" t="str">
        <f>IF(DAY(JúnNed1)=1,IF(AND(YEAR(JúnNed1+35)=KalendárnyRok,MONTH(JúnNed1+35)=6),JúnNed1+35,""),IF(AND(YEAR(JúnNed1+42)=KalendárnyRok,MONTH(JúnNed1+42)=6),JúnNed1+42,""))</f>
        <v/>
      </c>
      <c r="S28" s="3"/>
      <c r="U28" s="45" t="s">
        <v>80</v>
      </c>
      <c r="V28" s="1"/>
      <c r="W28" s="1"/>
    </row>
    <row r="29" spans="1:41" ht="15" customHeight="1" x14ac:dyDescent="0.25">
      <c r="J29" s="21"/>
      <c r="S29" s="3"/>
      <c r="U29" s="45" t="s">
        <v>55</v>
      </c>
      <c r="V29" s="1"/>
      <c r="W29" s="1"/>
    </row>
    <row r="30" spans="1:41" ht="18" customHeight="1" x14ac:dyDescent="0.35">
      <c r="A30" s="15" t="s">
        <v>8</v>
      </c>
      <c r="C30" s="52" t="s">
        <v>22</v>
      </c>
      <c r="D30" s="52"/>
      <c r="E30" s="52"/>
      <c r="F30" s="52"/>
      <c r="G30" s="52"/>
      <c r="H30" s="52"/>
      <c r="I30" s="52"/>
      <c r="J30" s="21"/>
      <c r="K30" s="52" t="s">
        <v>34</v>
      </c>
      <c r="L30" s="52"/>
      <c r="M30" s="52"/>
      <c r="N30" s="52"/>
      <c r="O30" s="52"/>
      <c r="P30" s="52"/>
      <c r="Q30" s="52"/>
      <c r="S30" s="3"/>
      <c r="U30" s="45" t="s">
        <v>56</v>
      </c>
      <c r="V30" s="1"/>
      <c r="W30" s="1"/>
    </row>
    <row r="31" spans="1:41" ht="15" customHeight="1" x14ac:dyDescent="0.25">
      <c r="A31" s="15" t="s">
        <v>9</v>
      </c>
      <c r="C31" s="13" t="s">
        <v>19</v>
      </c>
      <c r="D31" s="13" t="s">
        <v>25</v>
      </c>
      <c r="E31" s="51" t="s">
        <v>26</v>
      </c>
      <c r="F31" s="51" t="s">
        <v>27</v>
      </c>
      <c r="G31" s="13" t="s">
        <v>28</v>
      </c>
      <c r="H31" s="13" t="s">
        <v>29</v>
      </c>
      <c r="I31" s="13" t="s">
        <v>30</v>
      </c>
      <c r="J31" s="21"/>
      <c r="K31" s="13" t="s">
        <v>19</v>
      </c>
      <c r="L31" s="13" t="s">
        <v>25</v>
      </c>
      <c r="M31" s="51" t="s">
        <v>26</v>
      </c>
      <c r="N31" s="51" t="s">
        <v>27</v>
      </c>
      <c r="O31" s="13" t="s">
        <v>28</v>
      </c>
      <c r="P31" s="13" t="s">
        <v>29</v>
      </c>
      <c r="Q31" s="13" t="s">
        <v>30</v>
      </c>
      <c r="S31" s="3"/>
      <c r="U31" s="45" t="s">
        <v>57</v>
      </c>
      <c r="V31" s="1"/>
      <c r="W31" s="1"/>
    </row>
    <row r="32" spans="1:41" ht="15" customHeight="1" x14ac:dyDescent="0.3">
      <c r="A32" s="15"/>
      <c r="C32" s="21" t="str">
        <f>IF(DAY(JúlNed1)=1,"",IF(AND(YEAR(JúlNed1+1)=KalendárnyRok,MONTH(JúlNed1+1)=7),JúlNed1+1,""))</f>
        <v/>
      </c>
      <c r="D32" s="21" t="str">
        <f>IF(DAY(JúlNed1)=1,"",IF(AND(YEAR(JúlNed1+2)=KalendárnyRok,MONTH(JúlNed1+2)=7),JúlNed1+2,""))</f>
        <v/>
      </c>
      <c r="E32" s="21" t="str">
        <f>IF(DAY(JúlNed1)=1,"",IF(AND(YEAR(JúlNed1+3)=KalendárnyRok,MONTH(JúlNed1+3)=7),JúlNed1+3,""))</f>
        <v/>
      </c>
      <c r="F32" s="21" t="str">
        <f>IF(DAY(JúlNed1)=1,"",IF(AND(YEAR(JúlNed1+4)=KalendárnyRok,MONTH(JúlNed1+4)=7),JúlNed1+4,""))</f>
        <v/>
      </c>
      <c r="G32" s="21" t="str">
        <f>IF(DAY(JúlNed1)=1,"",IF(AND(YEAR(JúlNed1+5)=KalendárnyRok,MONTH(JúlNed1+5)=7),JúlNed1+5,""))</f>
        <v/>
      </c>
      <c r="H32" s="21">
        <f>IF(DAY(JúlNed1)=1,"",IF(AND(YEAR(JúlNed1+6)=KalendárnyRok,MONTH(JúlNed1+6)=7),JúlNed1+6,""))</f>
        <v>45108</v>
      </c>
      <c r="I32" s="21">
        <f>IF(DAY(JúlNed1)=1,IF(AND(YEAR(JúlNed1)=KalendárnyRok,MONTH(JúlNed1)=7),JúlNed1,""),IF(AND(YEAR(JúlNed1+7)=KalendárnyRok,MONTH(JúlNed1+7)=7),JúlNed1+7,""))</f>
        <v>45109</v>
      </c>
      <c r="K32" s="21" t="str">
        <f>IF(DAY(AugNed1)=1,"",IF(AND(YEAR(AugNed1+1)=KalendárnyRok,MONTH(AugNed1+1)=8),AugNed1+1,""))</f>
        <v/>
      </c>
      <c r="L32" s="21">
        <f>IF(DAY(AugNed1)=1,"",IF(AND(YEAR(AugNed1+2)=KalendárnyRok,MONTH(AugNed1+2)=8),AugNed1+2,""))</f>
        <v>45139</v>
      </c>
      <c r="M32" s="31">
        <f>IF(DAY(AugNed1)=1,"",IF(AND(YEAR(AugNed1+3)=KalendárnyRok,MONTH(AugNed1+3)=8),AugNed1+3,""))</f>
        <v>45140</v>
      </c>
      <c r="N32" s="25">
        <f>IF(DAY(AugNed1)=1,"",IF(AND(YEAR(AugNed1+4)=KalendárnyRok,MONTH(AugNed1+4)=8),AugNed1+4,""))</f>
        <v>45141</v>
      </c>
      <c r="O32" s="21">
        <f>IF(DAY(AugNed1)=1,"",IF(AND(YEAR(AugNed1+5)=KalendárnyRok,MONTH(AugNed1+5)=8),AugNed1+5,""))</f>
        <v>45142</v>
      </c>
      <c r="P32" s="21">
        <f>IF(DAY(AugNed1)=1,"",IF(AND(YEAR(AugNed1+6)=KalendárnyRok,MONTH(AugNed1+6)=8),AugNed1+6,""))</f>
        <v>45143</v>
      </c>
      <c r="Q32" s="21">
        <f>IF(DAY(AugNed1)=1,IF(AND(YEAR(AugNed1)=KalendárnyRok,MONTH(AugNed1)=8),AugNed1,""),IF(AND(YEAR(AugNed1+7)=KalendárnyRok,MONTH(AugNed1+7)=8),AugNed1+7,""))</f>
        <v>45144</v>
      </c>
      <c r="S32" s="3"/>
      <c r="U32" s="45" t="s">
        <v>58</v>
      </c>
      <c r="V32" s="1"/>
      <c r="W32" s="1"/>
    </row>
    <row r="33" spans="1:23" ht="15" customHeight="1" x14ac:dyDescent="0.3">
      <c r="A33" s="15"/>
      <c r="C33" s="21">
        <f>IF(DAY(JúlNed1)=1,IF(AND(YEAR(JúlNed1+1)=KalendárnyRok,MONTH(JúlNed1+1)=7),JúlNed1+1,""),IF(AND(YEAR(JúlNed1+8)=KalendárnyRok,MONTH(JúlNed1+8)=7),JúlNed1+8,""))</f>
        <v>45110</v>
      </c>
      <c r="D33" s="21">
        <f>IF(DAY(JúlNed1)=1,IF(AND(YEAR(JúlNed1+2)=KalendárnyRok,MONTH(JúlNed1+2)=7),JúlNed1+2,""),IF(AND(YEAR(JúlNed1+9)=KalendárnyRok,MONTH(JúlNed1+9)=7),JúlNed1+9,""))</f>
        <v>45111</v>
      </c>
      <c r="E33" s="21">
        <f>IF(DAY(JúlNed1)=1,IF(AND(YEAR(JúlNed1+3)=KalendárnyRok,MONTH(JúlNed1+3)=7),JúlNed1+3,""),IF(AND(YEAR(JúlNed1+10)=KalendárnyRok,MONTH(JúlNed1+10)=7),JúlNed1+10,""))</f>
        <v>45112</v>
      </c>
      <c r="F33" s="25">
        <f>IF(DAY(JúlNed1)=1,IF(AND(YEAR(JúlNed1+4)=KalendárnyRok,MONTH(JúlNed1+4)=7),JúlNed1+4,""),IF(AND(YEAR(JúlNed1+11)=KalendárnyRok,MONTH(JúlNed1+11)=7),JúlNed1+11,""))</f>
        <v>45113</v>
      </c>
      <c r="G33" s="21">
        <f>IF(DAY(JúlNed1)=1,IF(AND(YEAR(JúlNed1+5)=KalendárnyRok,MONTH(JúlNed1+5)=7),JúlNed1+5,""),IF(AND(YEAR(JúlNed1+12)=KalendárnyRok,MONTH(JúlNed1+12)=7),JúlNed1+12,""))</f>
        <v>45114</v>
      </c>
      <c r="H33" s="21">
        <f>IF(DAY(JúlNed1)=1,IF(AND(YEAR(JúlNed1+6)=KalendárnyRok,MONTH(JúlNed1+6)=7),JúlNed1+6,""),IF(AND(YEAR(JúlNed1+13)=KalendárnyRok,MONTH(JúlNed1+13)=7),JúlNed1+13,""))</f>
        <v>45115</v>
      </c>
      <c r="I33" s="21">
        <f>IF(DAY(JúlNed1)=1,IF(AND(YEAR(JúlNed1+7)=KalendárnyRok,MONTH(JúlNed1+7)=7),JúlNed1+7,""),IF(AND(YEAR(JúlNed1+14)=KalendárnyRok,MONTH(JúlNed1+14)=7),JúlNed1+14,""))</f>
        <v>45116</v>
      </c>
      <c r="K33" s="21">
        <f>IF(DAY(AugNed1)=1,IF(AND(YEAR(AugNed1+1)=KalendárnyRok,MONTH(AugNed1+1)=8),AugNed1+1,""),IF(AND(YEAR(AugNed1+8)=KalendárnyRok,MONTH(AugNed1+8)=8),AugNed1+8,""))</f>
        <v>45145</v>
      </c>
      <c r="L33" s="21">
        <f>IF(DAY(AugNed1)=1,IF(AND(YEAR(AugNed1+2)=KalendárnyRok,MONTH(AugNed1+2)=8),AugNed1+2,""),IF(AND(YEAR(AugNed1+9)=KalendárnyRok,MONTH(AugNed1+9)=8),AugNed1+9,""))</f>
        <v>45146</v>
      </c>
      <c r="M33" s="21">
        <f>IF(DAY(AugNed1)=1,IF(AND(YEAR(AugNed1+3)=KalendárnyRok,MONTH(AugNed1+3)=8),AugNed1+3,""),IF(AND(YEAR(AugNed1+10)=KalendárnyRok,MONTH(AugNed1+10)=8),AugNed1+10,""))</f>
        <v>45147</v>
      </c>
      <c r="N33" s="21">
        <f>IF(DAY(AugNed1)=1,IF(AND(YEAR(AugNed1+4)=KalendárnyRok,MONTH(AugNed1+4)=8),AugNed1+4,""),IF(AND(YEAR(AugNed1+11)=KalendárnyRok,MONTH(AugNed1+11)=8),AugNed1+11,""))</f>
        <v>45148</v>
      </c>
      <c r="O33" s="21">
        <f>IF(DAY(AugNed1)=1,IF(AND(YEAR(AugNed1+5)=KalendárnyRok,MONTH(AugNed1+5)=8),AugNed1+5,""),IF(AND(YEAR(AugNed1+12)=KalendárnyRok,MONTH(AugNed1+12)=8),AugNed1+12,""))</f>
        <v>45149</v>
      </c>
      <c r="P33" s="21">
        <f>IF(DAY(AugNed1)=1,IF(AND(YEAR(AugNed1+6)=KalendárnyRok,MONTH(AugNed1+6)=8),AugNed1+6,""),IF(AND(YEAR(AugNed1+13)=KalendárnyRok,MONTH(AugNed1+13)=8),AugNed1+13,""))</f>
        <v>45150</v>
      </c>
      <c r="Q33" s="21">
        <f>IF(DAY(AugNed1)=1,IF(AND(YEAR(AugNed1+7)=KalendárnyRok,MONTH(AugNed1+7)=8),AugNed1+7,""),IF(AND(YEAR(AugNed1+14)=KalendárnyRok,MONTH(AugNed1+14)=8),AugNed1+14,""))</f>
        <v>45151</v>
      </c>
      <c r="S33" s="3"/>
      <c r="U33" s="45" t="s">
        <v>59</v>
      </c>
      <c r="V33" s="1"/>
      <c r="W33" s="1"/>
    </row>
    <row r="34" spans="1:23" ht="15" customHeight="1" x14ac:dyDescent="0.3">
      <c r="C34" s="21">
        <f>IF(DAY(JúlNed1)=1,IF(AND(YEAR(JúlNed1+8)=KalendárnyRok,MONTH(JúlNed1+8)=7),JúlNed1+8,""),IF(AND(YEAR(JúlNed1+15)=KalendárnyRok,MONTH(JúlNed1+15)=7),JúlNed1+15,""))</f>
        <v>45117</v>
      </c>
      <c r="D34" s="28">
        <f>IF(DAY(JúlNed1)=1,IF(AND(YEAR(JúlNed1+9)=KalendárnyRok,MONTH(JúlNed1+9)=7),JúlNed1+9,""),IF(AND(YEAR(JúlNed1+16)=KalendárnyRok,MONTH(JúlNed1+16)=7),JúlNed1+16,""))</f>
        <v>45118</v>
      </c>
      <c r="E34" s="31">
        <f>IF(DAY(JúlNed1)=1,IF(AND(YEAR(JúlNed1+10)=KalendárnyRok,MONTH(JúlNed1+10)=7),JúlNed1+10,""),IF(AND(YEAR(JúlNed1+17)=KalendárnyRok,MONTH(JúlNed1+17)=7),JúlNed1+17,""))</f>
        <v>45119</v>
      </c>
      <c r="F34" s="21">
        <f>IF(DAY(JúlNed1)=1,IF(AND(YEAR(JúlNed1+11)=KalendárnyRok,MONTH(JúlNed1+11)=7),JúlNed1+11,""),IF(AND(YEAR(JúlNed1+18)=KalendárnyRok,MONTH(JúlNed1+18)=7),JúlNed1+18,""))</f>
        <v>45120</v>
      </c>
      <c r="G34" s="21">
        <f>IF(DAY(JúlNed1)=1,IF(AND(YEAR(JúlNed1+12)=KalendárnyRok,MONTH(JúlNed1+12)=7),JúlNed1+12,""),IF(AND(YEAR(JúlNed1+19)=KalendárnyRok,MONTH(JúlNed1+19)=7),JúlNed1+19,""))</f>
        <v>45121</v>
      </c>
      <c r="H34" s="21">
        <f>IF(DAY(JúlNed1)=1,IF(AND(YEAR(JúlNed1+13)=KalendárnyRok,MONTH(JúlNed1+13)=7),JúlNed1+13,""),IF(AND(YEAR(JúlNed1+20)=KalendárnyRok,MONTH(JúlNed1+20)=7),JúlNed1+20,""))</f>
        <v>45122</v>
      </c>
      <c r="I34" s="21">
        <f>IF(DAY(JúlNed1)=1,IF(AND(YEAR(JúlNed1+14)=KalendárnyRok,MONTH(JúlNed1+14)=7),JúlNed1+14,""),IF(AND(YEAR(JúlNed1+21)=KalendárnyRok,MONTH(JúlNed1+21)=7),JúlNed1+21,""))</f>
        <v>45123</v>
      </c>
      <c r="K34" s="21">
        <f>IF(DAY(AugNed1)=1,IF(AND(YEAR(AugNed1+8)=KalendárnyRok,MONTH(AugNed1+8)=8),AugNed1+8,""),IF(AND(YEAR(AugNed1+15)=KalendárnyRok,MONTH(AugNed1+15)=8),AugNed1+15,""))</f>
        <v>45152</v>
      </c>
      <c r="L34" s="28">
        <f>IF(DAY(AugNed1)=1,IF(AND(YEAR(AugNed1+9)=KalendárnyRok,MONTH(AugNed1+9)=8),AugNed1+9,""),IF(AND(YEAR(AugNed1+16)=KalendárnyRok,MONTH(AugNed1+16)=8),AugNed1+16,""))</f>
        <v>45153</v>
      </c>
      <c r="M34" s="21">
        <f>IF(DAY(AugNed1)=1,IF(AND(YEAR(AugNed1+10)=KalendárnyRok,MONTH(AugNed1+10)=8),AugNed1+10,""),IF(AND(YEAR(AugNed1+17)=KalendárnyRok,MONTH(AugNed1+17)=8),AugNed1+17,""))</f>
        <v>45154</v>
      </c>
      <c r="N34" s="25">
        <f>IF(DAY(AugNed1)=1,IF(AND(YEAR(AugNed1+11)=KalendárnyRok,MONTH(AugNed1+11)=8),AugNed1+11,""),IF(AND(YEAR(AugNed1+18)=KalendárnyRok,MONTH(AugNed1+18)=8),AugNed1+18,""))</f>
        <v>45155</v>
      </c>
      <c r="O34" s="21">
        <f>IF(DAY(AugNed1)=1,IF(AND(YEAR(AugNed1+12)=KalendárnyRok,MONTH(AugNed1+12)=8),AugNed1+12,""),IF(AND(YEAR(AugNed1+19)=KalendárnyRok,MONTH(AugNed1+19)=8),AugNed1+19,""))</f>
        <v>45156</v>
      </c>
      <c r="P34" s="21">
        <f>IF(DAY(AugNed1)=1,IF(AND(YEAR(AugNed1+13)=KalendárnyRok,MONTH(AugNed1+13)=8),AugNed1+13,""),IF(AND(YEAR(AugNed1+20)=KalendárnyRok,MONTH(AugNed1+20)=8),AugNed1+20,""))</f>
        <v>45157</v>
      </c>
      <c r="Q34" s="21">
        <f>IF(DAY(AugNed1)=1,IF(AND(YEAR(AugNed1+14)=KalendárnyRok,MONTH(AugNed1+14)=8),AugNed1+14,""),IF(AND(YEAR(AugNed1+21)=KalendárnyRok,MONTH(AugNed1+21)=8),AugNed1+21,""))</f>
        <v>45158</v>
      </c>
      <c r="S34" s="3"/>
      <c r="U34" s="45" t="s">
        <v>60</v>
      </c>
      <c r="V34" s="1"/>
      <c r="W34" s="1"/>
    </row>
    <row r="35" spans="1:23" ht="15" customHeight="1" x14ac:dyDescent="0.3">
      <c r="C35" s="21">
        <f>IF(DAY(JúlNed1)=1,IF(AND(YEAR(JúlNed1+15)=KalendárnyRok,MONTH(JúlNed1+15)=7),JúlNed1+15,""),IF(AND(YEAR(JúlNed1+22)=KalendárnyRok,MONTH(JúlNed1+22)=7),JúlNed1+22,""))</f>
        <v>45124</v>
      </c>
      <c r="D35" s="21">
        <f>IF(DAY(JúlNed1)=1,IF(AND(YEAR(JúlNed1+16)=KalendárnyRok,MONTH(JúlNed1+16)=7),JúlNed1+16,""),IF(AND(YEAR(JúlNed1+23)=KalendárnyRok,MONTH(JúlNed1+23)=7),JúlNed1+23,""))</f>
        <v>45125</v>
      </c>
      <c r="E35" s="21">
        <f>IF(DAY(JúlNed1)=1,IF(AND(YEAR(JúlNed1+17)=KalendárnyRok,MONTH(JúlNed1+17)=7),JúlNed1+17,""),IF(AND(YEAR(JúlNed1+24)=KalendárnyRok,MONTH(JúlNed1+24)=7),JúlNed1+24,""))</f>
        <v>45126</v>
      </c>
      <c r="F35" s="25">
        <f>IF(DAY(JúlNed1)=1,IF(AND(YEAR(JúlNed1+18)=KalendárnyRok,MONTH(JúlNed1+18)=7),JúlNed1+18,""),IF(AND(YEAR(JúlNed1+25)=KalendárnyRok,MONTH(JúlNed1+25)=7),JúlNed1+25,""))</f>
        <v>45127</v>
      </c>
      <c r="G35" s="21">
        <f>IF(DAY(JúlNed1)=1,IF(AND(YEAR(JúlNed1+19)=KalendárnyRok,MONTH(JúlNed1+19)=7),JúlNed1+19,""),IF(AND(YEAR(JúlNed1+26)=KalendárnyRok,MONTH(JúlNed1+26)=7),JúlNed1+26,""))</f>
        <v>45128</v>
      </c>
      <c r="H35" s="21">
        <f>IF(DAY(JúlNed1)=1,IF(AND(YEAR(JúlNed1+20)=KalendárnyRok,MONTH(JúlNed1+20)=7),JúlNed1+20,""),IF(AND(YEAR(JúlNed1+27)=KalendárnyRok,MONTH(JúlNed1+27)=7),JúlNed1+27,""))</f>
        <v>45129</v>
      </c>
      <c r="I35" s="21">
        <f>IF(DAY(JúlNed1)=1,IF(AND(YEAR(JúlNed1+21)=KalendárnyRok,MONTH(JúlNed1+21)=7),JúlNed1+21,""),IF(AND(YEAR(JúlNed1+28)=KalendárnyRok,MONTH(JúlNed1+28)=7),JúlNed1+28,""))</f>
        <v>45130</v>
      </c>
      <c r="K35" s="21">
        <f>IF(DAY(AugNed1)=1,IF(AND(YEAR(AugNed1+15)=KalendárnyRok,MONTH(AugNed1+15)=8),AugNed1+15,""),IF(AND(YEAR(AugNed1+22)=KalendárnyRok,MONTH(AugNed1+22)=8),AugNed1+22,""))</f>
        <v>45159</v>
      </c>
      <c r="L35" s="21">
        <f>IF(DAY(AugNed1)=1,IF(AND(YEAR(AugNed1+16)=KalendárnyRok,MONTH(AugNed1+16)=8),AugNed1+16,""),IF(AND(YEAR(AugNed1+23)=KalendárnyRok,MONTH(AugNed1+23)=8),AugNed1+23,""))</f>
        <v>45160</v>
      </c>
      <c r="M35" s="21">
        <f>IF(DAY(AugNed1)=1,IF(AND(YEAR(AugNed1+17)=KalendárnyRok,MONTH(AugNed1+17)=8),AugNed1+17,""),IF(AND(YEAR(AugNed1+24)=KalendárnyRok,MONTH(AugNed1+24)=8),AugNed1+24,""))</f>
        <v>45161</v>
      </c>
      <c r="N35" s="21">
        <f>IF(DAY(AugNed1)=1,IF(AND(YEAR(AugNed1+18)=KalendárnyRok,MONTH(AugNed1+18)=8),AugNed1+18,""),IF(AND(YEAR(AugNed1+25)=KalendárnyRok,MONTH(AugNed1+25)=8),AugNed1+25,""))</f>
        <v>45162</v>
      </c>
      <c r="O35" s="21">
        <f>IF(DAY(AugNed1)=1,IF(AND(YEAR(AugNed1+19)=KalendárnyRok,MONTH(AugNed1+19)=8),AugNed1+19,""),IF(AND(YEAR(AugNed1+26)=KalendárnyRok,MONTH(AugNed1+26)=8),AugNed1+26,""))</f>
        <v>45163</v>
      </c>
      <c r="P35" s="21">
        <f>IF(DAY(AugNed1)=1,IF(AND(YEAR(AugNed1+20)=KalendárnyRok,MONTH(AugNed1+20)=8),AugNed1+20,""),IF(AND(YEAR(AugNed1+27)=KalendárnyRok,MONTH(AugNed1+27)=8),AugNed1+27,""))</f>
        <v>45164</v>
      </c>
      <c r="Q35" s="21">
        <f>IF(DAY(AugNed1)=1,IF(AND(YEAR(AugNed1+21)=KalendárnyRok,MONTH(AugNed1+21)=8),AugNed1+21,""),IF(AND(YEAR(AugNed1+28)=KalendárnyRok,MONTH(AugNed1+28)=8),AugNed1+28,""))</f>
        <v>45165</v>
      </c>
      <c r="S35" s="3"/>
      <c r="U35" s="5"/>
      <c r="V35" s="1"/>
      <c r="W35" s="1"/>
    </row>
    <row r="36" spans="1:23" ht="15" customHeight="1" x14ac:dyDescent="0.3">
      <c r="C36" s="21">
        <f>IF(DAY(JúlNed1)=1,IF(AND(YEAR(JúlNed1+22)=KalendárnyRok,MONTH(JúlNed1+22)=7),JúlNed1+22,""),IF(AND(YEAR(JúlNed1+29)=KalendárnyRok,MONTH(JúlNed1+29)=7),JúlNed1+29,""))</f>
        <v>45131</v>
      </c>
      <c r="D36" s="21">
        <f>IF(DAY(JúlNed1)=1,IF(AND(YEAR(JúlNed1+23)=KalendárnyRok,MONTH(JúlNed1+23)=7),JúlNed1+23,""),IF(AND(YEAR(JúlNed1+30)=KalendárnyRok,MONTH(JúlNed1+30)=7),JúlNed1+30,""))</f>
        <v>45132</v>
      </c>
      <c r="E36" s="21">
        <f>IF(DAY(JúlNed1)=1,IF(AND(YEAR(JúlNed1+24)=KalendárnyRok,MONTH(JúlNed1+24)=7),JúlNed1+24,""),IF(AND(YEAR(JúlNed1+31)=KalendárnyRok,MONTH(JúlNed1+31)=7),JúlNed1+31,""))</f>
        <v>45133</v>
      </c>
      <c r="F36" s="21">
        <f>IF(DAY(JúlNed1)=1,IF(AND(YEAR(JúlNed1+25)=KalendárnyRok,MONTH(JúlNed1+25)=7),JúlNed1+25,""),IF(AND(YEAR(JúlNed1+32)=KalendárnyRok,MONTH(JúlNed1+32)=7),JúlNed1+32,""))</f>
        <v>45134</v>
      </c>
      <c r="G36" s="21">
        <f>IF(DAY(JúlNed1)=1,IF(AND(YEAR(JúlNed1+26)=KalendárnyRok,MONTH(JúlNed1+26)=7),JúlNed1+26,""),IF(AND(YEAR(JúlNed1+33)=KalendárnyRok,MONTH(JúlNed1+33)=7),JúlNed1+33,""))</f>
        <v>45135</v>
      </c>
      <c r="H36" s="21">
        <f>IF(DAY(JúlNed1)=1,IF(AND(YEAR(JúlNed1+27)=KalendárnyRok,MONTH(JúlNed1+27)=7),JúlNed1+27,""),IF(AND(YEAR(JúlNed1+34)=KalendárnyRok,MONTH(JúlNed1+34)=7),JúlNed1+34,""))</f>
        <v>45136</v>
      </c>
      <c r="I36" s="21">
        <f>IF(DAY(JúlNed1)=1,IF(AND(YEAR(JúlNed1+28)=KalendárnyRok,MONTH(JúlNed1+28)=7),JúlNed1+28,""),IF(AND(YEAR(JúlNed1+35)=KalendárnyRok,MONTH(JúlNed1+35)=7),JúlNed1+35,""))</f>
        <v>45137</v>
      </c>
      <c r="K36" s="21">
        <f>IF(DAY(AugNed1)=1,IF(AND(YEAR(AugNed1+22)=KalendárnyRok,MONTH(AugNed1+22)=8),AugNed1+22,""),IF(AND(YEAR(AugNed1+29)=KalendárnyRok,MONTH(AugNed1+29)=8),AugNed1+29,""))</f>
        <v>45166</v>
      </c>
      <c r="L36" s="21">
        <f>IF(DAY(AugNed1)=1,IF(AND(YEAR(AugNed1+23)=KalendárnyRok,MONTH(AugNed1+23)=8),AugNed1+23,""),IF(AND(YEAR(AugNed1+30)=KalendárnyRok,MONTH(AugNed1+30)=8),AugNed1+30,""))</f>
        <v>45167</v>
      </c>
      <c r="M36" s="21">
        <f>IF(DAY(AugNed1)=1,IF(AND(YEAR(AugNed1+24)=KalendárnyRok,MONTH(AugNed1+24)=8),AugNed1+24,""),IF(AND(YEAR(AugNed1+31)=KalendárnyRok,MONTH(AugNed1+31)=8),AugNed1+31,""))</f>
        <v>45168</v>
      </c>
      <c r="N36" s="25">
        <f>IF(DAY(AugNed1)=1,IF(AND(YEAR(AugNed1+25)=KalendárnyRok,MONTH(AugNed1+25)=8),AugNed1+25,""),IF(AND(YEAR(AugNed1+32)=KalendárnyRok,MONTH(AugNed1+32)=8),AugNed1+32,""))</f>
        <v>45169</v>
      </c>
      <c r="O36" s="21" t="str">
        <f>IF(DAY(AugNed1)=1,IF(AND(YEAR(AugNed1+26)=KalendárnyRok,MONTH(AugNed1+26)=8),AugNed1+26,""),IF(AND(YEAR(AugNed1+33)=KalendárnyRok,MONTH(AugNed1+33)=8),AugNed1+33,""))</f>
        <v/>
      </c>
      <c r="P36" s="21" t="str">
        <f>IF(DAY(AugNed1)=1,IF(AND(YEAR(AugNed1+27)=KalendárnyRok,MONTH(AugNed1+27)=8),AugNed1+27,""),IF(AND(YEAR(AugNed1+34)=KalendárnyRok,MONTH(AugNed1+34)=8),AugNed1+34,""))</f>
        <v/>
      </c>
      <c r="Q36" s="21" t="str">
        <f>IF(DAY(AugNed1)=1,IF(AND(YEAR(AugNed1+28)=KalendárnyRok,MONTH(AugNed1+28)=8),AugNed1+28,""),IF(AND(YEAR(AugNed1+35)=KalendárnyRok,MONTH(AugNed1+35)=8),AugNed1+35,""))</f>
        <v/>
      </c>
      <c r="S36" s="3"/>
      <c r="V36" s="1"/>
      <c r="W36" s="1"/>
    </row>
    <row r="37" spans="1:23" ht="15" customHeight="1" x14ac:dyDescent="0.2">
      <c r="C37" s="21">
        <f>IF(DAY(JúlNed1)=1,IF(AND(YEAR(JúlNed1+29)=KalendárnyRok,MONTH(JúlNed1+29)=7),JúlNed1+29,""),IF(AND(YEAR(JúlNed1+36)=KalendárnyRok,MONTH(JúlNed1+36)=7),JúlNed1+36,""))</f>
        <v>45138</v>
      </c>
      <c r="D37" s="21" t="str">
        <f>IF(DAY(JúlNed1)=1,IF(AND(YEAR(JúlNed1+30)=KalendárnyRok,MONTH(JúlNed1+30)=7),JúlNed1+30,""),IF(AND(YEAR(JúlNed1+37)=KalendárnyRok,MONTH(JúlNed1+37)=7),JúlNed1+37,""))</f>
        <v/>
      </c>
      <c r="E37" s="21" t="str">
        <f>IF(DAY(JúlNed1)=1,IF(AND(YEAR(JúlNed1+31)=KalendárnyRok,MONTH(JúlNed1+31)=7),JúlNed1+31,""),IF(AND(YEAR(JúlNed1+38)=KalendárnyRok,MONTH(JúlNed1+38)=7),JúlNed1+38,""))</f>
        <v/>
      </c>
      <c r="F37" s="21" t="str">
        <f>IF(DAY(JúlNed1)=1,IF(AND(YEAR(JúlNed1+32)=KalendárnyRok,MONTH(JúlNed1+32)=7),JúlNed1+32,""),IF(AND(YEAR(JúlNed1+39)=KalendárnyRok,MONTH(JúlNed1+39)=7),JúlNed1+39,""))</f>
        <v/>
      </c>
      <c r="G37" s="21" t="str">
        <f>IF(DAY(JúlNed1)=1,IF(AND(YEAR(JúlNed1+33)=KalendárnyRok,MONTH(JúlNed1+33)=7),JúlNed1+33,""),IF(AND(YEAR(JúlNed1+40)=KalendárnyRok,MONTH(JúlNed1+40)=7),JúlNed1+40,""))</f>
        <v/>
      </c>
      <c r="H37" s="21" t="str">
        <f>IF(DAY(JúlNed1)=1,IF(AND(YEAR(JúlNed1+34)=KalendárnyRok,MONTH(JúlNed1+34)=7),JúlNed1+34,""),IF(AND(YEAR(JúlNed1+41)=KalendárnyRok,MONTH(JúlNed1+41)=7),JúlNed1+41,""))</f>
        <v/>
      </c>
      <c r="I37" s="21" t="str">
        <f>IF(DAY(JúlNed1)=1,IF(AND(YEAR(JúlNed1+35)=KalendárnyRok,MONTH(JúlNed1+35)=7),JúlNed1+35,""),IF(AND(YEAR(JúlNed1+42)=KalendárnyRok,MONTH(JúlNed1+42)=7),JúlNed1+42,""))</f>
        <v/>
      </c>
      <c r="K37" s="21" t="str">
        <f>IF(DAY(AugNed1)=1,IF(AND(YEAR(AugNed1+29)=KalendárnyRok,MONTH(AugNed1+29)=8),AugNed1+29,""),IF(AND(YEAR(AugNed1+36)=KalendárnyRok,MONTH(AugNed1+36)=8),AugNed1+36,""))</f>
        <v/>
      </c>
      <c r="L37" s="21" t="str">
        <f>IF(DAY(AugNed1)=1,IF(AND(YEAR(AugNed1+30)=KalendárnyRok,MONTH(AugNed1+30)=8),AugNed1+30,""),IF(AND(YEAR(AugNed1+37)=KalendárnyRok,MONTH(AugNed1+37)=8),AugNed1+37,""))</f>
        <v/>
      </c>
      <c r="M37" s="21" t="str">
        <f>IF(DAY(AugNed1)=1,IF(AND(YEAR(AugNed1+31)=KalendárnyRok,MONTH(AugNed1+31)=8),AugNed1+31,""),IF(AND(YEAR(AugNed1+38)=KalendárnyRok,MONTH(AugNed1+38)=8),AugNed1+38,""))</f>
        <v/>
      </c>
      <c r="N37" s="21" t="str">
        <f>IF(DAY(AugNed1)=1,IF(AND(YEAR(AugNed1+32)=KalendárnyRok,MONTH(AugNed1+32)=8),AugNed1+32,""),IF(AND(YEAR(AugNed1+39)=KalendárnyRok,MONTH(AugNed1+39)=8),AugNed1+39,""))</f>
        <v/>
      </c>
      <c r="O37" s="21" t="str">
        <f>IF(DAY(AugNed1)=1,IF(AND(YEAR(AugNed1+33)=KalendárnyRok,MONTH(AugNed1+33)=8),AugNed1+33,""),IF(AND(YEAR(AugNed1+40)=KalendárnyRok,MONTH(AugNed1+40)=8),AugNed1+40,""))</f>
        <v/>
      </c>
      <c r="P37" s="21" t="str">
        <f>IF(DAY(AugNed1)=1,IF(AND(YEAR(AugNed1+34)=KalendárnyRok,MONTH(AugNed1+34)=8),AugNed1+34,""),IF(AND(YEAR(AugNed1+41)=KalendárnyRok,MONTH(AugNed1+41)=8),AugNed1+41,""))</f>
        <v/>
      </c>
      <c r="Q37" s="21" t="str">
        <f>IF(DAY(AugNed1)=1,IF(AND(YEAR(AugNed1+35)=KalendárnyRok,MONTH(AugNed1+35)=8),AugNed1+35,""),IF(AND(YEAR(AugNed1+42)=KalendárnyRok,MONTH(AugNed1+42)=8),AugNed1+42,""))</f>
        <v/>
      </c>
      <c r="S37" s="3"/>
      <c r="V37" s="1"/>
      <c r="W37" s="1"/>
    </row>
    <row r="38" spans="1:23" ht="15" customHeight="1" x14ac:dyDescent="0.35">
      <c r="C38" s="37"/>
      <c r="D38" s="37"/>
      <c r="E38" s="37"/>
      <c r="F38" s="37"/>
      <c r="G38" s="37"/>
      <c r="H38" s="37"/>
      <c r="I38" s="37"/>
      <c r="J38" s="38"/>
      <c r="K38" s="37"/>
      <c r="L38" s="37"/>
      <c r="M38" s="37"/>
      <c r="N38" s="37"/>
      <c r="O38" s="37"/>
      <c r="P38" s="37"/>
      <c r="Q38" s="37"/>
      <c r="S38" s="3"/>
      <c r="V38" s="1"/>
      <c r="W38" s="1"/>
    </row>
    <row r="39" spans="1:23" ht="21.75" customHeight="1" x14ac:dyDescent="0.35">
      <c r="A39" s="15" t="s">
        <v>10</v>
      </c>
      <c r="C39" s="52" t="s">
        <v>23</v>
      </c>
      <c r="D39" s="52"/>
      <c r="E39" s="52"/>
      <c r="F39" s="52"/>
      <c r="G39" s="52"/>
      <c r="H39" s="52"/>
      <c r="I39" s="52"/>
      <c r="J39" s="38"/>
      <c r="K39" s="52" t="s">
        <v>35</v>
      </c>
      <c r="L39" s="52"/>
      <c r="M39" s="52"/>
      <c r="N39" s="52"/>
      <c r="O39" s="52"/>
      <c r="P39" s="52"/>
      <c r="Q39" s="52"/>
      <c r="S39" s="3"/>
      <c r="U39" s="40" t="s">
        <v>78</v>
      </c>
      <c r="V39" s="1"/>
      <c r="W39" s="1"/>
    </row>
    <row r="40" spans="1:23" ht="15" customHeight="1" x14ac:dyDescent="0.25">
      <c r="A40" s="15" t="s">
        <v>11</v>
      </c>
      <c r="C40" s="13" t="s">
        <v>19</v>
      </c>
      <c r="D40" s="13" t="s">
        <v>25</v>
      </c>
      <c r="E40" s="51" t="s">
        <v>26</v>
      </c>
      <c r="F40" s="51" t="s">
        <v>27</v>
      </c>
      <c r="G40" s="13" t="s">
        <v>28</v>
      </c>
      <c r="H40" s="13" t="s">
        <v>29</v>
      </c>
      <c r="I40" s="13" t="s">
        <v>30</v>
      </c>
      <c r="K40" s="13" t="s">
        <v>19</v>
      </c>
      <c r="L40" s="13" t="s">
        <v>25</v>
      </c>
      <c r="M40" s="51" t="s">
        <v>26</v>
      </c>
      <c r="N40" s="51" t="s">
        <v>27</v>
      </c>
      <c r="O40" s="13" t="s">
        <v>28</v>
      </c>
      <c r="P40" s="13" t="s">
        <v>29</v>
      </c>
      <c r="Q40" s="13" t="s">
        <v>30</v>
      </c>
      <c r="S40" s="3"/>
      <c r="U40" s="43" t="s">
        <v>77</v>
      </c>
      <c r="V40" s="1"/>
      <c r="W40" s="1"/>
    </row>
    <row r="41" spans="1:23" ht="15" customHeight="1" x14ac:dyDescent="0.25">
      <c r="C41" s="21" t="str">
        <f>IF(DAY(SepNed1)=1,"",IF(AND(YEAR(SepNed1+1)=KalendárnyRok,MONTH(SepNed1+1)=9),SepNed1+1,""))</f>
        <v/>
      </c>
      <c r="D41" s="21" t="str">
        <f>IF(DAY(SepNed1)=1,"",IF(AND(YEAR(SepNed1+2)=KalendárnyRok,MONTH(SepNed1+2)=9),SepNed1+2,""))</f>
        <v/>
      </c>
      <c r="E41" s="33" t="str">
        <f>IF(DAY(SepNed1)=1,"",IF(AND(YEAR(SepNed1+3)=KalendárnyRok,MONTH(SepNed1+3)=9),SepNed1+3,""))</f>
        <v/>
      </c>
      <c r="F41" s="21" t="str">
        <f>IF(DAY(SepNed1)=1,"",IF(AND(YEAR(SepNed1+4)=KalendárnyRok,MONTH(SepNed1+4)=9),SepNed1+4,""))</f>
        <v/>
      </c>
      <c r="G41" s="21">
        <f>IF(DAY(SepNed1)=1,"",IF(AND(YEAR(SepNed1+5)=KalendárnyRok,MONTH(SepNed1+5)=9),SepNed1+5,""))</f>
        <v>45170</v>
      </c>
      <c r="H41" s="21">
        <f>IF(DAY(SepNed1)=1,"",IF(AND(YEAR(SepNed1+6)=KalendárnyRok,MONTH(SepNed1+6)=9),SepNed1+6,""))</f>
        <v>45171</v>
      </c>
      <c r="I41" s="21">
        <f>IF(DAY(SepNed1)=1,IF(AND(YEAR(SepNed1)=KalendárnyRok,MONTH(SepNed1)=9),SepNed1,""),IF(AND(YEAR(SepNed1+7)=KalendárnyRok,MONTH(SepNed1+7)=9),SepNed1+7,""))</f>
        <v>45172</v>
      </c>
      <c r="K41" s="21" t="str">
        <f>IF(DAY(OktNed1)=1,"",IF(AND(YEAR(OktNed1+1)=KalendárnyRok,MONTH(OktNed1+1)=10),OktNed1+1,""))</f>
        <v/>
      </c>
      <c r="L41" s="21" t="str">
        <f>IF(DAY(OktNed1)=1,"",IF(AND(YEAR(OktNed1+2)=KalendárnyRok,MONTH(OktNed1+2)=10),OktNed1+2,""))</f>
        <v/>
      </c>
      <c r="M41" s="32" t="str">
        <f>IF(DAY(OktNed1)=1,"",IF(AND(YEAR(OktNed1+3)=KalendárnyRok,MONTH(OktNed1+3)=10),OktNed1+3,""))</f>
        <v/>
      </c>
      <c r="N41" s="21" t="str">
        <f>IF(DAY(OktNed1)=1,"",IF(AND(YEAR(OktNed1+4)=KalendárnyRok,MONTH(OktNed1+4)=10),OktNed1+4,""))</f>
        <v/>
      </c>
      <c r="O41" s="21" t="str">
        <f>IF(DAY(OktNed1)=1,"",IF(AND(YEAR(OktNed1+5)=KalendárnyRok,MONTH(OktNed1+5)=10),OktNed1+5,""))</f>
        <v/>
      </c>
      <c r="P41" s="21" t="str">
        <f>IF(DAY(OktNed1)=1,"",IF(AND(YEAR(OktNed1+6)=KalendárnyRok,MONTH(OktNed1+6)=10),OktNed1+6,""))</f>
        <v/>
      </c>
      <c r="Q41" s="21">
        <f>IF(DAY(OktNed1)=1,IF(AND(YEAR(OktNed1)=KalendárnyRok,MONTH(OktNed1)=10),OktNed1,""),IF(AND(YEAR(OktNed1+7)=KalendárnyRok,MONTH(OktNed1+7)=10),OktNed1+7,""))</f>
        <v>45200</v>
      </c>
      <c r="S41" s="3"/>
      <c r="U41" s="47" t="s">
        <v>61</v>
      </c>
      <c r="V41" s="1"/>
      <c r="W41" s="1"/>
    </row>
    <row r="42" spans="1:23" ht="15" customHeight="1" x14ac:dyDescent="0.3">
      <c r="C42" s="21">
        <f>IF(DAY(SepNed1)=1,IF(AND(YEAR(SepNed1+1)=KalendárnyRok,MONTH(SepNed1+1)=9),SepNed1+1,""),IF(AND(YEAR(SepNed1+8)=KalendárnyRok,MONTH(SepNed1+8)=9),SepNed1+8,""))</f>
        <v>45173</v>
      </c>
      <c r="D42" s="21">
        <f>IF(DAY(SepNed1)=1,IF(AND(YEAR(SepNed1+2)=KalendárnyRok,MONTH(SepNed1+2)=9),SepNed1+2,""),IF(AND(YEAR(SepNed1+9)=KalendárnyRok,MONTH(SepNed1+9)=9),SepNed1+9,""))</f>
        <v>45174</v>
      </c>
      <c r="E42" s="34">
        <f>IF(DAY(SepNed1)=1,IF(AND(YEAR(SepNed1+3)=KalendárnyRok,MONTH(SepNed1+3)=9),SepNed1+3,""),IF(AND(YEAR(SepNed1+10)=KalendárnyRok,MONTH(SepNed1+10)=9),SepNed1+10,""))</f>
        <v>45175</v>
      </c>
      <c r="F42" s="21">
        <f>IF(DAY(SepNed1)=1,IF(AND(YEAR(SepNed1+4)=KalendárnyRok,MONTH(SepNed1+4)=9),SepNed1+4,""),IF(AND(YEAR(SepNed1+11)=KalendárnyRok,MONTH(SepNed1+11)=9),SepNed1+11,""))</f>
        <v>45176</v>
      </c>
      <c r="G42" s="21">
        <f>IF(DAY(SepNed1)=1,IF(AND(YEAR(SepNed1+5)=KalendárnyRok,MONTH(SepNed1+5)=9),SepNed1+5,""),IF(AND(YEAR(SepNed1+12)=KalendárnyRok,MONTH(SepNed1+12)=9),SepNed1+12,""))</f>
        <v>45177</v>
      </c>
      <c r="H42" s="21">
        <f>IF(DAY(SepNed1)=1,IF(AND(YEAR(SepNed1+6)=KalendárnyRok,MONTH(SepNed1+6)=9),SepNed1+6,""),IF(AND(YEAR(SepNed1+13)=KalendárnyRok,MONTH(SepNed1+13)=9),SepNed1+13,""))</f>
        <v>45178</v>
      </c>
      <c r="I42" s="21">
        <f>IF(DAY(SepNed1)=1,IF(AND(YEAR(SepNed1+7)=KalendárnyRok,MONTH(SepNed1+7)=9),SepNed1+7,""),IF(AND(YEAR(SepNed1+14)=KalendárnyRok,MONTH(SepNed1+14)=9),SepNed1+14,""))</f>
        <v>45179</v>
      </c>
      <c r="K42" s="21">
        <f>IF(DAY(OktNed1)=1,IF(AND(YEAR(OktNed1+1)=KalendárnyRok,MONTH(OktNed1+1)=10),OktNed1+1,""),IF(AND(YEAR(OktNed1+8)=KalendárnyRok,MONTH(OktNed1+8)=10),OktNed1+8,""))</f>
        <v>45201</v>
      </c>
      <c r="L42" s="21">
        <f>IF(DAY(OktNed1)=1,IF(AND(YEAR(OktNed1+2)=KalendárnyRok,MONTH(OktNed1+2)=10),OktNed1+2,""),IF(AND(YEAR(OktNed1+9)=KalendárnyRok,MONTH(OktNed1+9)=10),OktNed1+9,""))</f>
        <v>45202</v>
      </c>
      <c r="M42" s="31">
        <f>IF(DAY(OktNed1)=1,IF(AND(YEAR(OktNed1+3)=KalendárnyRok,MONTH(OktNed1+3)=10),OktNed1+3,""),IF(AND(YEAR(OktNed1+10)=KalendárnyRok,MONTH(OktNed1+10)=10),OktNed1+10,""))</f>
        <v>45203</v>
      </c>
      <c r="N42" s="21">
        <f>IF(DAY(OktNed1)=1,IF(AND(YEAR(OktNed1+4)=KalendárnyRok,MONTH(OktNed1+4)=10),OktNed1+4,""),IF(AND(YEAR(OktNed1+11)=KalendárnyRok,MONTH(OktNed1+11)=10),OktNed1+11,""))</f>
        <v>45204</v>
      </c>
      <c r="O42" s="21">
        <f>IF(DAY(OktNed1)=1,IF(AND(YEAR(OktNed1+5)=KalendárnyRok,MONTH(OktNed1+5)=10),OktNed1+5,""),IF(AND(YEAR(OktNed1+12)=KalendárnyRok,MONTH(OktNed1+12)=10),OktNed1+12,""))</f>
        <v>45205</v>
      </c>
      <c r="P42" s="21">
        <f>IF(DAY(OktNed1)=1,IF(AND(YEAR(OktNed1+6)=KalendárnyRok,MONTH(OktNed1+6)=10),OktNed1+6,""),IF(AND(YEAR(OktNed1+13)=KalendárnyRok,MONTH(OktNed1+13)=10),OktNed1+13,""))</f>
        <v>45206</v>
      </c>
      <c r="Q42" s="21">
        <f>IF(DAY(OktNed1)=1,IF(AND(YEAR(OktNed1+7)=KalendárnyRok,MONTH(OktNed1+7)=10),OktNed1+7,""),IF(AND(YEAR(OktNed1+14)=KalendárnyRok,MONTH(OktNed1+14)=10),OktNed1+14,""))</f>
        <v>45207</v>
      </c>
      <c r="S42" s="3"/>
      <c r="U42" s="48" t="s">
        <v>71</v>
      </c>
      <c r="V42" s="1"/>
      <c r="W42" s="1"/>
    </row>
    <row r="43" spans="1:23" ht="15" customHeight="1" x14ac:dyDescent="0.3">
      <c r="C43" s="21">
        <f>IF(DAY(SepNed1)=1,IF(AND(YEAR(SepNed1+8)=KalendárnyRok,MONTH(SepNed1+8)=9),SepNed1+8,""),IF(AND(YEAR(SepNed1+15)=KalendárnyRok,MONTH(SepNed1+15)=9),SepNed1+15,""))</f>
        <v>45180</v>
      </c>
      <c r="D43" s="28">
        <f>IF(DAY(SepNed1)=1,IF(AND(YEAR(SepNed1+9)=KalendárnyRok,MONTH(SepNed1+9)=9),SepNed1+9,""),IF(AND(YEAR(SepNed1+16)=KalendárnyRok,MONTH(SepNed1+16)=9),SepNed1+16,""))</f>
        <v>45181</v>
      </c>
      <c r="E43" s="21">
        <f>IF(DAY(SepNed1)=1,IF(AND(YEAR(SepNed1+10)=KalendárnyRok,MONTH(SepNed1+10)=9),SepNed1+10,""),IF(AND(YEAR(SepNed1+17)=KalendárnyRok,MONTH(SepNed1+17)=9),SepNed1+17,""))</f>
        <v>45182</v>
      </c>
      <c r="F43" s="25">
        <f>IF(DAY(SepNed1)=1,IF(AND(YEAR(SepNed1+11)=KalendárnyRok,MONTH(SepNed1+11)=9),SepNed1+11,""),IF(AND(YEAR(SepNed1+18)=KalendárnyRok,MONTH(SepNed1+18)=9),SepNed1+18,""))</f>
        <v>45183</v>
      </c>
      <c r="G43" s="21">
        <f>IF(DAY(SepNed1)=1,IF(AND(YEAR(SepNed1+12)=KalendárnyRok,MONTH(SepNed1+12)=9),SepNed1+12,""),IF(AND(YEAR(SepNed1+19)=KalendárnyRok,MONTH(SepNed1+19)=9),SepNed1+19,""))</f>
        <v>45184</v>
      </c>
      <c r="H43" s="21">
        <f>IF(DAY(SepNed1)=1,IF(AND(YEAR(SepNed1+13)=KalendárnyRok,MONTH(SepNed1+13)=9),SepNed1+13,""),IF(AND(YEAR(SepNed1+20)=KalendárnyRok,MONTH(SepNed1+20)=9),SepNed1+20,""))</f>
        <v>45185</v>
      </c>
      <c r="I43" s="21">
        <f>IF(DAY(SepNed1)=1,IF(AND(YEAR(SepNed1+14)=KalendárnyRok,MONTH(SepNed1+14)=9),SepNed1+14,""),IF(AND(YEAR(SepNed1+21)=KalendárnyRok,MONTH(SepNed1+21)=9),SepNed1+21,""))</f>
        <v>45186</v>
      </c>
      <c r="K43" s="21">
        <f>IF(DAY(OktNed1)=1,IF(AND(YEAR(OktNed1+8)=KalendárnyRok,MONTH(OktNed1+8)=10),OktNed1+8,""),IF(AND(YEAR(OktNed1+15)=KalendárnyRok,MONTH(OktNed1+15)=10),OktNed1+15,""))</f>
        <v>45208</v>
      </c>
      <c r="L43" s="28">
        <f>IF(DAY(OktNed1)=1,IF(AND(YEAR(OktNed1+9)=KalendárnyRok,MONTH(OktNed1+9)=10),OktNed1+9,""),IF(AND(YEAR(OktNed1+16)=KalendárnyRok,MONTH(OktNed1+16)=10),OktNed1+16,""))</f>
        <v>45209</v>
      </c>
      <c r="M43" s="21">
        <f>IF(DAY(OktNed1)=1,IF(AND(YEAR(OktNed1+10)=KalendárnyRok,MONTH(OktNed1+10)=10),OktNed1+10,""),IF(AND(YEAR(OktNed1+17)=KalendárnyRok,MONTH(OktNed1+17)=10),OktNed1+17,""))</f>
        <v>45210</v>
      </c>
      <c r="N43" s="25">
        <f>IF(DAY(OktNed1)=1,IF(AND(YEAR(OktNed1+11)=KalendárnyRok,MONTH(OktNed1+11)=10),OktNed1+11,""),IF(AND(YEAR(OktNed1+18)=KalendárnyRok,MONTH(OktNed1+18)=10),OktNed1+18,""))</f>
        <v>45211</v>
      </c>
      <c r="O43" s="21">
        <f>IF(DAY(OktNed1)=1,IF(AND(YEAR(OktNed1+12)=KalendárnyRok,MONTH(OktNed1+12)=10),OktNed1+12,""),IF(AND(YEAR(OktNed1+19)=KalendárnyRok,MONTH(OktNed1+19)=10),OktNed1+19,""))</f>
        <v>45212</v>
      </c>
      <c r="P43" s="21">
        <f>IF(DAY(OktNed1)=1,IF(AND(YEAR(OktNed1+13)=KalendárnyRok,MONTH(OktNed1+13)=10),OktNed1+13,""),IF(AND(YEAR(OktNed1+20)=KalendárnyRok,MONTH(OktNed1+20)=10),OktNed1+20,""))</f>
        <v>45213</v>
      </c>
      <c r="Q43" s="21">
        <f>IF(DAY(OktNed1)=1,IF(AND(YEAR(OktNed1+14)=KalendárnyRok,MONTH(OktNed1+14)=10),OktNed1+14,""),IF(AND(YEAR(OktNed1+21)=KalendárnyRok,MONTH(OktNed1+21)=10),OktNed1+21,""))</f>
        <v>45214</v>
      </c>
      <c r="S43" s="3"/>
      <c r="U43" s="47" t="s">
        <v>62</v>
      </c>
      <c r="V43" s="1"/>
      <c r="W43" s="1"/>
    </row>
    <row r="44" spans="1:23" ht="15" customHeight="1" x14ac:dyDescent="0.25">
      <c r="A44" s="15" t="s">
        <v>12</v>
      </c>
      <c r="C44" s="21">
        <f>IF(DAY(SepNed1)=1,IF(AND(YEAR(SepNed1+15)=KalendárnyRok,MONTH(SepNed1+15)=9),SepNed1+15,""),IF(AND(YEAR(SepNed1+22)=KalendárnyRok,MONTH(SepNed1+22)=9),SepNed1+22,""))</f>
        <v>45187</v>
      </c>
      <c r="D44" s="21">
        <f>IF(DAY(SepNed1)=1,IF(AND(YEAR(SepNed1+16)=KalendárnyRok,MONTH(SepNed1+16)=9),SepNed1+16,""),IF(AND(YEAR(SepNed1+23)=KalendárnyRok,MONTH(SepNed1+23)=9),SepNed1+23,""))</f>
        <v>45188</v>
      </c>
      <c r="E44" s="21">
        <f>IF(DAY(SepNed1)=1,IF(AND(YEAR(SepNed1+17)=KalendárnyRok,MONTH(SepNed1+17)=9),SepNed1+17,""),IF(AND(YEAR(SepNed1+24)=KalendárnyRok,MONTH(SepNed1+24)=9),SepNed1+24,""))</f>
        <v>45189</v>
      </c>
      <c r="F44" s="21">
        <f>IF(DAY(SepNed1)=1,IF(AND(YEAR(SepNed1+18)=KalendárnyRok,MONTH(SepNed1+18)=9),SepNed1+18,""),IF(AND(YEAR(SepNed1+25)=KalendárnyRok,MONTH(SepNed1+25)=9),SepNed1+25,""))</f>
        <v>45190</v>
      </c>
      <c r="G44" s="21">
        <f>IF(DAY(SepNed1)=1,IF(AND(YEAR(SepNed1+19)=KalendárnyRok,MONTH(SepNed1+19)=9),SepNed1+19,""),IF(AND(YEAR(SepNed1+26)=KalendárnyRok,MONTH(SepNed1+26)=9),SepNed1+26,""))</f>
        <v>45191</v>
      </c>
      <c r="H44" s="21">
        <f>IF(DAY(SepNed1)=1,IF(AND(YEAR(SepNed1+20)=KalendárnyRok,MONTH(SepNed1+20)=9),SepNed1+20,""),IF(AND(YEAR(SepNed1+27)=KalendárnyRok,MONTH(SepNed1+27)=9),SepNed1+27,""))</f>
        <v>45192</v>
      </c>
      <c r="I44" s="21">
        <f>IF(DAY(SepNed1)=1,IF(AND(YEAR(SepNed1+21)=KalendárnyRok,MONTH(SepNed1+21)=9),SepNed1+21,""),IF(AND(YEAR(SepNed1+28)=KalendárnyRok,MONTH(SepNed1+28)=9),SepNed1+28,""))</f>
        <v>45193</v>
      </c>
      <c r="K44" s="21">
        <f>IF(DAY(OktNed1)=1,IF(AND(YEAR(OktNed1+15)=KalendárnyRok,MONTH(OktNed1+15)=10),OktNed1+15,""),IF(AND(YEAR(OktNed1+22)=KalendárnyRok,MONTH(OktNed1+22)=10),OktNed1+22,""))</f>
        <v>45215</v>
      </c>
      <c r="L44" s="21">
        <f>IF(DAY(OktNed1)=1,IF(AND(YEAR(OktNed1+16)=KalendárnyRok,MONTH(OktNed1+16)=10),OktNed1+16,""),IF(AND(YEAR(OktNed1+23)=KalendárnyRok,MONTH(OktNed1+23)=10),OktNed1+23,""))</f>
        <v>45216</v>
      </c>
      <c r="M44" s="21">
        <f>IF(DAY(OktNed1)=1,IF(AND(YEAR(OktNed1+17)=KalendárnyRok,MONTH(OktNed1+17)=10),OktNed1+17,""),IF(AND(YEAR(OktNed1+24)=KalendárnyRok,MONTH(OktNed1+24)=10),OktNed1+24,""))</f>
        <v>45217</v>
      </c>
      <c r="N44" s="21">
        <f>IF(DAY(OktNed1)=1,IF(AND(YEAR(OktNed1+18)=KalendárnyRok,MONTH(OktNed1+18)=10),OktNed1+18,""),IF(AND(YEAR(OktNed1+25)=KalendárnyRok,MONTH(OktNed1+25)=10),OktNed1+25,""))</f>
        <v>45218</v>
      </c>
      <c r="O44" s="21">
        <f>IF(DAY(OktNed1)=1,IF(AND(YEAR(OktNed1+19)=KalendárnyRok,MONTH(OktNed1+19)=10),OktNed1+19,""),IF(AND(YEAR(OktNed1+26)=KalendárnyRok,MONTH(OktNed1+26)=10),OktNed1+26,""))</f>
        <v>45219</v>
      </c>
      <c r="P44" s="21">
        <f>IF(DAY(OktNed1)=1,IF(AND(YEAR(OktNed1+20)=KalendárnyRok,MONTH(OktNed1+20)=10),OktNed1+20,""),IF(AND(YEAR(OktNed1+27)=KalendárnyRok,MONTH(OktNed1+27)=10),OktNed1+27,""))</f>
        <v>45220</v>
      </c>
      <c r="Q44" s="21">
        <f>IF(DAY(OktNed1)=1,IF(AND(YEAR(OktNed1+21)=KalendárnyRok,MONTH(OktNed1+21)=10),OktNed1+21,""),IF(AND(YEAR(OktNed1+28)=KalendárnyRok,MONTH(OktNed1+28)=10),OktNed1+28,""))</f>
        <v>45221</v>
      </c>
      <c r="S44" s="3"/>
      <c r="U44" s="47" t="s">
        <v>63</v>
      </c>
      <c r="V44" s="1"/>
      <c r="W44" s="1"/>
    </row>
    <row r="45" spans="1:23" ht="15" customHeight="1" x14ac:dyDescent="0.3">
      <c r="A45" s="15" t="s">
        <v>13</v>
      </c>
      <c r="C45" s="21">
        <f>IF(DAY(SepNed1)=1,IF(AND(YEAR(SepNed1+22)=KalendárnyRok,MONTH(SepNed1+22)=9),SepNed1+22,""),IF(AND(YEAR(SepNed1+29)=KalendárnyRok,MONTH(SepNed1+29)=9),SepNed1+29,""))</f>
        <v>45194</v>
      </c>
      <c r="D45" s="21">
        <f>IF(DAY(SepNed1)=1,IF(AND(YEAR(SepNed1+23)=KalendárnyRok,MONTH(SepNed1+23)=9),SepNed1+23,""),IF(AND(YEAR(SepNed1+30)=KalendárnyRok,MONTH(SepNed1+30)=9),SepNed1+30,""))</f>
        <v>45195</v>
      </c>
      <c r="E45" s="21">
        <f>IF(DAY(SepNed1)=1,IF(AND(YEAR(SepNed1+24)=KalendárnyRok,MONTH(SepNed1+24)=9),SepNed1+24,""),IF(AND(YEAR(SepNed1+31)=KalendárnyRok,MONTH(SepNed1+31)=9),SepNed1+31,""))</f>
        <v>45196</v>
      </c>
      <c r="F45" s="25">
        <f>IF(DAY(SepNed1)=1,IF(AND(YEAR(SepNed1+25)=KalendárnyRok,MONTH(SepNed1+25)=9),SepNed1+25,""),IF(AND(YEAR(SepNed1+32)=KalendárnyRok,MONTH(SepNed1+32)=9),SepNed1+32,""))</f>
        <v>45197</v>
      </c>
      <c r="G45" s="21">
        <f>IF(DAY(SepNed1)=1,IF(AND(YEAR(SepNed1+26)=KalendárnyRok,MONTH(SepNed1+26)=9),SepNed1+26,""),IF(AND(YEAR(SepNed1+33)=KalendárnyRok,MONTH(SepNed1+33)=9),SepNed1+33,""))</f>
        <v>45198</v>
      </c>
      <c r="H45" s="21">
        <f>IF(DAY(SepNed1)=1,IF(AND(YEAR(SepNed1+27)=KalendárnyRok,MONTH(SepNed1+27)=9),SepNed1+27,""),IF(AND(YEAR(SepNed1+34)=KalendárnyRok,MONTH(SepNed1+34)=9),SepNed1+34,""))</f>
        <v>45199</v>
      </c>
      <c r="I45" s="21" t="str">
        <f>IF(DAY(SepNed1)=1,IF(AND(YEAR(SepNed1+28)=KalendárnyRok,MONTH(SepNed1+28)=9),SepNed1+28,""),IF(AND(YEAR(SepNed1+35)=KalendárnyRok,MONTH(SepNed1+35)=9),SepNed1+35,""))</f>
        <v/>
      </c>
      <c r="K45" s="21">
        <f>IF(DAY(OktNed1)=1,IF(AND(YEAR(OktNed1+22)=KalendárnyRok,MONTH(OktNed1+22)=10),OktNed1+22,""),IF(AND(YEAR(OktNed1+29)=KalendárnyRok,MONTH(OktNed1+29)=10),OktNed1+29,""))</f>
        <v>45222</v>
      </c>
      <c r="L45" s="21">
        <f>IF(DAY(OktNed1)=1,IF(AND(YEAR(OktNed1+23)=KalendárnyRok,MONTH(OktNed1+23)=10),OktNed1+23,""),IF(AND(YEAR(OktNed1+30)=KalendárnyRok,MONTH(OktNed1+30)=10),OktNed1+30,""))</f>
        <v>45223</v>
      </c>
      <c r="M45" s="21">
        <f>IF(DAY(OktNed1)=1,IF(AND(YEAR(OktNed1+24)=KalendárnyRok,MONTH(OktNed1+24)=10),OktNed1+24,""),IF(AND(YEAR(OktNed1+31)=KalendárnyRok,MONTH(OktNed1+31)=10),OktNed1+31,""))</f>
        <v>45224</v>
      </c>
      <c r="N45" s="25">
        <f>IF(DAY(OktNed1)=1,IF(AND(YEAR(OktNed1+25)=KalendárnyRok,MONTH(OktNed1+25)=10),OktNed1+25,""),IF(AND(YEAR(OktNed1+32)=KalendárnyRok,MONTH(OktNed1+32)=10),OktNed1+32,""))</f>
        <v>45225</v>
      </c>
      <c r="O45" s="21">
        <f>IF(DAY(OktNed1)=1,IF(AND(YEAR(OktNed1+26)=KalendárnyRok,MONTH(OktNed1+26)=10),OktNed1+26,""),IF(AND(YEAR(OktNed1+33)=KalendárnyRok,MONTH(OktNed1+33)=10),OktNed1+33,""))</f>
        <v>45226</v>
      </c>
      <c r="P45" s="21">
        <f>IF(DAY(OktNed1)=1,IF(AND(YEAR(OktNed1+27)=KalendárnyRok,MONTH(OktNed1+27)=10),OktNed1+27,""),IF(AND(YEAR(OktNed1+34)=KalendárnyRok,MONTH(OktNed1+34)=10),OktNed1+34,""))</f>
        <v>45227</v>
      </c>
      <c r="Q45" s="21">
        <f>IF(DAY(OktNed1)=1,IF(AND(YEAR(OktNed1+28)=KalendárnyRok,MONTH(OktNed1+28)=10),OktNed1+28,""),IF(AND(YEAR(OktNed1+35)=KalendárnyRok,MONTH(OktNed1+35)=10),OktNed1+35,""))</f>
        <v>45228</v>
      </c>
      <c r="S45" s="3"/>
      <c r="U45" s="47" t="s">
        <v>64</v>
      </c>
      <c r="V45" s="1"/>
      <c r="W45" s="1"/>
    </row>
    <row r="46" spans="1:23" ht="15" customHeight="1" x14ac:dyDescent="0.25">
      <c r="A46" s="15"/>
      <c r="C46" s="21" t="str">
        <f>IF(DAY(SepNed1)=1,IF(AND(YEAR(SepNed1+29)=KalendárnyRok,MONTH(SepNed1+29)=9),SepNed1+29,""),IF(AND(YEAR(SepNed1+36)=KalendárnyRok,MONTH(SepNed1+36)=9),SepNed1+36,""))</f>
        <v/>
      </c>
      <c r="D46" s="21" t="str">
        <f>IF(DAY(SepNed1)=1,IF(AND(YEAR(SepNed1+30)=KalendárnyRok,MONTH(SepNed1+30)=9),SepNed1+30,""),IF(AND(YEAR(SepNed1+37)=KalendárnyRok,MONTH(SepNed1+37)=9),SepNed1+37,""))</f>
        <v/>
      </c>
      <c r="E46" s="21" t="str">
        <f>IF(DAY(SepNed1)=1,IF(AND(YEAR(SepNed1+31)=KalendárnyRok,MONTH(SepNed1+31)=9),SepNed1+31,""),IF(AND(YEAR(SepNed1+38)=KalendárnyRok,MONTH(SepNed1+38)=9),SepNed1+38,""))</f>
        <v/>
      </c>
      <c r="F46" s="21" t="str">
        <f>IF(DAY(SepNed1)=1,IF(AND(YEAR(SepNed1+32)=KalendárnyRok,MONTH(SepNed1+32)=9),SepNed1+32,""),IF(AND(YEAR(SepNed1+39)=KalendárnyRok,MONTH(SepNed1+39)=9),SepNed1+39,""))</f>
        <v/>
      </c>
      <c r="G46" s="21" t="str">
        <f>IF(DAY(SepNed1)=1,IF(AND(YEAR(SepNed1+33)=KalendárnyRok,MONTH(SepNed1+33)=9),SepNed1+33,""),IF(AND(YEAR(SepNed1+40)=KalendárnyRok,MONTH(SepNed1+40)=9),SepNed1+40,""))</f>
        <v/>
      </c>
      <c r="H46" s="21" t="str">
        <f>IF(DAY(SepNed1)=1,IF(AND(YEAR(SepNed1+34)=KalendárnyRok,MONTH(SepNed1+34)=9),SepNed1+34,""),IF(AND(YEAR(SepNed1+41)=KalendárnyRok,MONTH(SepNed1+41)=9),SepNed1+41,""))</f>
        <v/>
      </c>
      <c r="I46" s="21" t="str">
        <f>IF(DAY(SepNed1)=1,IF(AND(YEAR(SepNed1+35)=KalendárnyRok,MONTH(SepNed1+35)=9),SepNed1+35,""),IF(AND(YEAR(SepNed1+42)=KalendárnyRok,MONTH(SepNed1+42)=9),SepNed1+42,""))</f>
        <v/>
      </c>
      <c r="K46" s="21">
        <f>IF(DAY(OktNed1)=1,IF(AND(YEAR(OktNed1+29)=KalendárnyRok,MONTH(OktNed1+29)=10),OktNed1+29,""),IF(AND(YEAR(OktNed1+36)=KalendárnyRok,MONTH(OktNed1+36)=10),OktNed1+36,""))</f>
        <v>45229</v>
      </c>
      <c r="L46" s="21">
        <f>IF(DAY(OktNed1)=1,IF(AND(YEAR(OktNed1+30)=KalendárnyRok,MONTH(OktNed1+30)=10),OktNed1+30,""),IF(AND(YEAR(OktNed1+37)=KalendárnyRok,MONTH(OktNed1+37)=10),OktNed1+37,""))</f>
        <v>45230</v>
      </c>
      <c r="M46" s="21" t="str">
        <f>IF(DAY(OktNed1)=1,IF(AND(YEAR(OktNed1+31)=KalendárnyRok,MONTH(OktNed1+31)=10),OktNed1+31,""),IF(AND(YEAR(OktNed1+38)=KalendárnyRok,MONTH(OktNed1+38)=10),OktNed1+38,""))</f>
        <v/>
      </c>
      <c r="N46" s="21" t="str">
        <f>IF(DAY(OktNed1)=1,IF(AND(YEAR(OktNed1+32)=KalendárnyRok,MONTH(OktNed1+32)=10),OktNed1+32,""),IF(AND(YEAR(OktNed1+39)=KalendárnyRok,MONTH(OktNed1+39)=10),OktNed1+39,""))</f>
        <v/>
      </c>
      <c r="O46" s="21" t="str">
        <f>IF(DAY(OktNed1)=1,IF(AND(YEAR(OktNed1+33)=KalendárnyRok,MONTH(OktNed1+33)=10),OktNed1+33,""),IF(AND(YEAR(OktNed1+40)=KalendárnyRok,MONTH(OktNed1+40)=10),OktNed1+40,""))</f>
        <v/>
      </c>
      <c r="P46" s="21" t="str">
        <f>IF(DAY(OktNed1)=1,IF(AND(YEAR(OktNed1+34)=KalendárnyRok,MONTH(OktNed1+34)=10),OktNed1+34,""),IF(AND(YEAR(OktNed1+41)=KalendárnyRok,MONTH(OktNed1+41)=10),OktNed1+41,""))</f>
        <v/>
      </c>
      <c r="Q46" s="21" t="str">
        <f>IF(DAY(OktNed1)=1,IF(AND(YEAR(OktNed1+35)=KalendárnyRok,MONTH(OktNed1+35)=10),OktNed1+35,""),IF(AND(YEAR(OktNed1+42)=KalendárnyRok,MONTH(OktNed1+42)=10),OktNed1+42,""))</f>
        <v/>
      </c>
      <c r="S46" s="3"/>
      <c r="U46" s="47" t="s">
        <v>73</v>
      </c>
      <c r="V46" s="1"/>
      <c r="W46" s="1"/>
    </row>
    <row r="47" spans="1:23" ht="15" customHeight="1" x14ac:dyDescent="0.25">
      <c r="A47" s="15" t="s">
        <v>14</v>
      </c>
      <c r="S47" s="3"/>
      <c r="U47" s="47" t="s">
        <v>65</v>
      </c>
      <c r="V47" s="1"/>
      <c r="W47" s="1"/>
    </row>
    <row r="48" spans="1:23" ht="19.5" customHeight="1" x14ac:dyDescent="0.35">
      <c r="A48" s="15" t="s">
        <v>15</v>
      </c>
      <c r="C48" s="52" t="s">
        <v>24</v>
      </c>
      <c r="D48" s="52"/>
      <c r="E48" s="52"/>
      <c r="F48" s="52"/>
      <c r="G48" s="52"/>
      <c r="H48" s="52"/>
      <c r="I48" s="52"/>
      <c r="J48" s="38"/>
      <c r="K48" s="52" t="s">
        <v>36</v>
      </c>
      <c r="L48" s="52"/>
      <c r="M48" s="52"/>
      <c r="N48" s="52"/>
      <c r="O48" s="52"/>
      <c r="P48" s="52"/>
      <c r="Q48" s="52"/>
      <c r="S48" s="3"/>
      <c r="U48" s="49" t="s">
        <v>66</v>
      </c>
      <c r="V48" s="1"/>
      <c r="W48" s="1"/>
    </row>
    <row r="49" spans="1:21" ht="15" customHeight="1" x14ac:dyDescent="0.25">
      <c r="A49" s="15" t="s">
        <v>16</v>
      </c>
      <c r="C49" s="13" t="s">
        <v>19</v>
      </c>
      <c r="D49" s="13" t="s">
        <v>25</v>
      </c>
      <c r="E49" s="51" t="s">
        <v>26</v>
      </c>
      <c r="F49" s="51" t="s">
        <v>27</v>
      </c>
      <c r="G49" s="13" t="s">
        <v>28</v>
      </c>
      <c r="H49" s="13" t="s">
        <v>29</v>
      </c>
      <c r="I49" s="13" t="s">
        <v>30</v>
      </c>
      <c r="J49" s="7"/>
      <c r="K49" s="13" t="s">
        <v>19</v>
      </c>
      <c r="L49" s="13" t="s">
        <v>25</v>
      </c>
      <c r="M49" s="51" t="s">
        <v>26</v>
      </c>
      <c r="N49" s="51" t="s">
        <v>27</v>
      </c>
      <c r="O49" s="13" t="s">
        <v>28</v>
      </c>
      <c r="P49" s="13" t="s">
        <v>29</v>
      </c>
      <c r="Q49" s="13" t="s">
        <v>30</v>
      </c>
      <c r="S49" s="3"/>
      <c r="U49" s="47" t="s">
        <v>67</v>
      </c>
    </row>
    <row r="50" spans="1:21" ht="15" customHeight="1" x14ac:dyDescent="0.25">
      <c r="A50" s="15"/>
      <c r="C50" s="21" t="str">
        <f>IF(DAY(NovNed1)=1,"",IF(AND(YEAR(NovNed1+1)=KalendárnyRok,MONTH(NovNed1+1)=11),NovNed1+1,""))</f>
        <v/>
      </c>
      <c r="D50" s="21" t="str">
        <f>IF(DAY(NovNed1)=1,"",IF(AND(YEAR(NovNed1+2)=KalendárnyRok,MONTH(NovNed1+2)=11),NovNed1+2,""))</f>
        <v/>
      </c>
      <c r="E50" s="21">
        <f>IF(DAY(NovNed1)=1,"",IF(AND(YEAR(NovNed1+3)=KalendárnyRok,MONTH(NovNed1+3)=11),NovNed1+3,""))</f>
        <v>45231</v>
      </c>
      <c r="F50" s="21">
        <f>IF(DAY(NovNed1)=1,"",IF(AND(YEAR(NovNed1+4)=KalendárnyRok,MONTH(NovNed1+4)=11),NovNed1+4,""))</f>
        <v>45232</v>
      </c>
      <c r="G50" s="21">
        <f>IF(DAY(NovNed1)=1,"",IF(AND(YEAR(NovNed1+5)=KalendárnyRok,MONTH(NovNed1+5)=11),NovNed1+5,""))</f>
        <v>45233</v>
      </c>
      <c r="H50" s="21">
        <f>IF(DAY(NovNed1)=1,"",IF(AND(YEAR(NovNed1+6)=KalendárnyRok,MONTH(NovNed1+6)=11),NovNed1+6,""))</f>
        <v>45234</v>
      </c>
      <c r="I50" s="21">
        <f>IF(DAY(NovNed1)=1,IF(AND(YEAR(NovNed1)=KalendárnyRok,MONTH(NovNed1)=11),NovNed1,""),IF(AND(YEAR(NovNed1+7)=KalendárnyRok,MONTH(NovNed1+7)=11),NovNed1+7,""))</f>
        <v>45235</v>
      </c>
      <c r="K50" s="21" t="str">
        <f>IF(DAY(DecNed1)=1,"",IF(AND(YEAR(DecNed1+1)=KalendárnyRok,MONTH(DecNed1+1)=12),DecNed1+1,""))</f>
        <v/>
      </c>
      <c r="L50" s="21" t="str">
        <f>IF(DAY(DecNed1)=1,"",IF(AND(YEAR(DecNed1+2)=KalendárnyRok,MONTH(DecNed1+2)=12),DecNed1+2,""))</f>
        <v/>
      </c>
      <c r="M50" s="21" t="str">
        <f>IF(DAY(DecNed1)=1,"",IF(AND(YEAR(DecNed1+3)=KalendárnyRok,MONTH(DecNed1+3)=12),DecNed1+3,""))</f>
        <v/>
      </c>
      <c r="N50" s="21" t="str">
        <f>IF(DAY(DecNed1)=1,"",IF(AND(YEAR(DecNed1+4)=KalendárnyRok,MONTH(DecNed1+4)=12),DecNed1+4,""))</f>
        <v/>
      </c>
      <c r="O50" s="21">
        <f>IF(DAY(DecNed1)=1,"",IF(AND(YEAR(DecNed1+5)=KalendárnyRok,MONTH(DecNed1+5)=12),DecNed1+5,""))</f>
        <v>45261</v>
      </c>
      <c r="P50" s="21">
        <f>IF(DAY(DecNed1)=1,"",IF(AND(YEAR(DecNed1+6)=KalendárnyRok,MONTH(DecNed1+6)=12),DecNed1+6,""))</f>
        <v>45262</v>
      </c>
      <c r="Q50" s="21">
        <f>IF(DAY(DecNed1)=1,IF(AND(YEAR(DecNed1)=KalendárnyRok,MONTH(DecNed1)=12),DecNed1,""),IF(AND(YEAR(DecNed1+7)=KalendárnyRok,MONTH(DecNed1+7)=12),DecNed1+7,""))</f>
        <v>45263</v>
      </c>
      <c r="S50" s="3"/>
      <c r="U50" s="47" t="s">
        <v>68</v>
      </c>
    </row>
    <row r="51" spans="1:21" ht="15" customHeight="1" x14ac:dyDescent="0.3">
      <c r="A51" s="15" t="s">
        <v>17</v>
      </c>
      <c r="C51" s="21">
        <f>IF(DAY(NovNed1)=1,IF(AND(YEAR(NovNed1+1)=KalendárnyRok,MONTH(NovNed1+1)=11),NovNed1+1,""),IF(AND(YEAR(NovNed1+8)=KalendárnyRok,MONTH(NovNed1+8)=11),NovNed1+8,""))</f>
        <v>45236</v>
      </c>
      <c r="D51" s="21">
        <f>IF(DAY(NovNed1)=1,IF(AND(YEAR(NovNed1+2)=KalendárnyRok,MONTH(NovNed1+2)=11),NovNed1+2,""),IF(AND(YEAR(NovNed1+9)=KalendárnyRok,MONTH(NovNed1+9)=11),NovNed1+9,""))</f>
        <v>45237</v>
      </c>
      <c r="E51" s="31">
        <f>IF(DAY(NovNed1)=1,IF(AND(YEAR(NovNed1+3)=KalendárnyRok,MONTH(NovNed1+3)=11),NovNed1+3,""),IF(AND(YEAR(NovNed1+10)=KalendárnyRok,MONTH(NovNed1+10)=11),NovNed1+10,""))</f>
        <v>45238</v>
      </c>
      <c r="F51" s="25">
        <f>IF(DAY(NovNed1)=1,IF(AND(YEAR(NovNed1+4)=KalendárnyRok,MONTH(NovNed1+4)=11),NovNed1+4,""),IF(AND(YEAR(NovNed1+11)=KalendárnyRok,MONTH(NovNed1+11)=11),NovNed1+11,""))</f>
        <v>45239</v>
      </c>
      <c r="G51" s="21">
        <f>IF(DAY(NovNed1)=1,IF(AND(YEAR(NovNed1+5)=KalendárnyRok,MONTH(NovNed1+5)=11),NovNed1+5,""),IF(AND(YEAR(NovNed1+12)=KalendárnyRok,MONTH(NovNed1+12)=11),NovNed1+12,""))</f>
        <v>45240</v>
      </c>
      <c r="H51" s="21">
        <f>IF(DAY(NovNed1)=1,IF(AND(YEAR(NovNed1+6)=KalendárnyRok,MONTH(NovNed1+6)=11),NovNed1+6,""),IF(AND(YEAR(NovNed1+13)=KalendárnyRok,MONTH(NovNed1+13)=11),NovNed1+13,""))</f>
        <v>45241</v>
      </c>
      <c r="I51" s="21">
        <f>IF(DAY(NovNed1)=1,IF(AND(YEAR(NovNed1+7)=KalendárnyRok,MONTH(NovNed1+7)=11),NovNed1+7,""),IF(AND(YEAR(NovNed1+14)=KalendárnyRok,MONTH(NovNed1+14)=11),NovNed1+14,""))</f>
        <v>45242</v>
      </c>
      <c r="K51" s="21">
        <f>IF(DAY(DecNed1)=1,IF(AND(YEAR(DecNed1+1)=KalendárnyRok,MONTH(DecNed1+1)=12),DecNed1+1,""),IF(AND(YEAR(DecNed1+8)=KalendárnyRok,MONTH(DecNed1+8)=12),DecNed1+8,""))</f>
        <v>45264</v>
      </c>
      <c r="L51" s="21">
        <f>IF(DAY(DecNed1)=1,IF(AND(YEAR(DecNed1+2)=KalendárnyRok,MONTH(DecNed1+2)=12),DecNed1+2,""),IF(AND(YEAR(DecNed1+9)=KalendárnyRok,MONTH(DecNed1+9)=12),DecNed1+9,""))</f>
        <v>45265</v>
      </c>
      <c r="M51" s="31">
        <f>IF(DAY(DecNed1)=1,IF(AND(YEAR(DecNed1+3)=KalendárnyRok,MONTH(DecNed1+3)=12),DecNed1+3,""),IF(AND(YEAR(DecNed1+10)=KalendárnyRok,MONTH(DecNed1+10)=12),DecNed1+10,""))</f>
        <v>45266</v>
      </c>
      <c r="N51" s="25">
        <f>IF(DAY(DecNed1)=1,IF(AND(YEAR(DecNed1+4)=KalendárnyRok,MONTH(DecNed1+4)=12),DecNed1+4,""),IF(AND(YEAR(DecNed1+11)=KalendárnyRok,MONTH(DecNed1+11)=12),DecNed1+11,""))</f>
        <v>45267</v>
      </c>
      <c r="O51" s="21">
        <f>IF(DAY(DecNed1)=1,IF(AND(YEAR(DecNed1+5)=KalendárnyRok,MONTH(DecNed1+5)=12),DecNed1+5,""),IF(AND(YEAR(DecNed1+12)=KalendárnyRok,MONTH(DecNed1+12)=12),DecNed1+12,""))</f>
        <v>45268</v>
      </c>
      <c r="P51" s="21">
        <f>IF(DAY(DecNed1)=1,IF(AND(YEAR(DecNed1+6)=KalendárnyRok,MONTH(DecNed1+6)=12),DecNed1+6,""),IF(AND(YEAR(DecNed1+13)=KalendárnyRok,MONTH(DecNed1+13)=12),DecNed1+13,""))</f>
        <v>45269</v>
      </c>
      <c r="Q51" s="21">
        <f>IF(DAY(DecNed1)=1,IF(AND(YEAR(DecNed1+7)=KalendárnyRok,MONTH(DecNed1+7)=12),DecNed1+7,""),IF(AND(YEAR(DecNed1+14)=KalendárnyRok,MONTH(DecNed1+14)=12),DecNed1+14,""))</f>
        <v>45270</v>
      </c>
      <c r="S51" s="3"/>
      <c r="U51" s="47" t="s">
        <v>69</v>
      </c>
    </row>
    <row r="52" spans="1:21" ht="15" customHeight="1" x14ac:dyDescent="0.3">
      <c r="C52" s="21">
        <f>IF(DAY(NovNed1)=1,IF(AND(YEAR(NovNed1+8)=KalendárnyRok,MONTH(NovNed1+8)=11),NovNed1+8,""),IF(AND(YEAR(NovNed1+15)=KalendárnyRok,MONTH(NovNed1+15)=11),NovNed1+15,""))</f>
        <v>45243</v>
      </c>
      <c r="D52" s="28">
        <f>IF(DAY(NovNed1)=1,IF(AND(YEAR(NovNed1+9)=KalendárnyRok,MONTH(NovNed1+9)=11),NovNed1+9,""),IF(AND(YEAR(NovNed1+16)=KalendárnyRok,MONTH(NovNed1+16)=11),NovNed1+16,""))</f>
        <v>45244</v>
      </c>
      <c r="E52" s="21">
        <f>IF(DAY(NovNed1)=1,IF(AND(YEAR(NovNed1+10)=KalendárnyRok,MONTH(NovNed1+10)=11),NovNed1+10,""),IF(AND(YEAR(NovNed1+17)=KalendárnyRok,MONTH(NovNed1+17)=11),NovNed1+17,""))</f>
        <v>45245</v>
      </c>
      <c r="F52" s="21">
        <f>IF(DAY(NovNed1)=1,IF(AND(YEAR(NovNed1+11)=KalendárnyRok,MONTH(NovNed1+11)=11),NovNed1+11,""),IF(AND(YEAR(NovNed1+18)=KalendárnyRok,MONTH(NovNed1+18)=11),NovNed1+18,""))</f>
        <v>45246</v>
      </c>
      <c r="G52" s="21">
        <f>IF(DAY(NovNed1)=1,IF(AND(YEAR(NovNed1+12)=KalendárnyRok,MONTH(NovNed1+12)=11),NovNed1+12,""),IF(AND(YEAR(NovNed1+19)=KalendárnyRok,MONTH(NovNed1+19)=11),NovNed1+19,""))</f>
        <v>45247</v>
      </c>
      <c r="H52" s="21">
        <f>IF(DAY(NovNed1)=1,IF(AND(YEAR(NovNed1+13)=KalendárnyRok,MONTH(NovNed1+13)=11),NovNed1+13,""),IF(AND(YEAR(NovNed1+20)=KalendárnyRok,MONTH(NovNed1+20)=11),NovNed1+20,""))</f>
        <v>45248</v>
      </c>
      <c r="I52" s="21">
        <f>IF(DAY(NovNed1)=1,IF(AND(YEAR(NovNed1+14)=KalendárnyRok,MONTH(NovNed1+14)=11),NovNed1+14,""),IF(AND(YEAR(NovNed1+21)=KalendárnyRok,MONTH(NovNed1+21)=11),NovNed1+21,""))</f>
        <v>45249</v>
      </c>
      <c r="K52" s="21">
        <f>IF(DAY(DecNed1)=1,IF(AND(YEAR(DecNed1+8)=KalendárnyRok,MONTH(DecNed1+8)=12),DecNed1+8,""),IF(AND(YEAR(DecNed1+15)=KalendárnyRok,MONTH(DecNed1+15)=12),DecNed1+15,""))</f>
        <v>45271</v>
      </c>
      <c r="L52" s="28">
        <f>IF(DAY(DecNed1)=1,IF(AND(YEAR(DecNed1+9)=KalendárnyRok,MONTH(DecNed1+9)=12),DecNed1+9,""),IF(AND(YEAR(DecNed1+16)=KalendárnyRok,MONTH(DecNed1+16)=12),DecNed1+16,""))</f>
        <v>45272</v>
      </c>
      <c r="M52" s="21">
        <f>IF(DAY(DecNed1)=1,IF(AND(YEAR(DecNed1+10)=KalendárnyRok,MONTH(DecNed1+10)=12),DecNed1+10,""),IF(AND(YEAR(DecNed1+17)=KalendárnyRok,MONTH(DecNed1+17)=12),DecNed1+17,""))</f>
        <v>45273</v>
      </c>
      <c r="N52" s="21">
        <f>IF(DAY(DecNed1)=1,IF(AND(YEAR(DecNed1+11)=KalendárnyRok,MONTH(DecNed1+11)=12),DecNed1+11,""),IF(AND(YEAR(DecNed1+18)=KalendárnyRok,MONTH(DecNed1+18)=12),DecNed1+18,""))</f>
        <v>45274</v>
      </c>
      <c r="O52" s="21">
        <f>IF(DAY(DecNed1)=1,IF(AND(YEAR(DecNed1+12)=KalendárnyRok,MONTH(DecNed1+12)=12),DecNed1+12,""),IF(AND(YEAR(DecNed1+19)=KalendárnyRok,MONTH(DecNed1+19)=12),DecNed1+19,""))</f>
        <v>45275</v>
      </c>
      <c r="P52" s="21">
        <f>IF(DAY(DecNed1)=1,IF(AND(YEAR(DecNed1+13)=KalendárnyRok,MONTH(DecNed1+13)=12),DecNed1+13,""),IF(AND(YEAR(DecNed1+20)=KalendárnyRok,MONTH(DecNed1+20)=12),DecNed1+20,""))</f>
        <v>45276</v>
      </c>
      <c r="Q52" s="21">
        <f>IF(DAY(DecNed1)=1,IF(AND(YEAR(DecNed1+14)=KalendárnyRok,MONTH(DecNed1+14)=12),DecNed1+14,""),IF(AND(YEAR(DecNed1+21)=KalendárnyRok,MONTH(DecNed1+21)=12),DecNed1+21,""))</f>
        <v>45277</v>
      </c>
      <c r="S52" s="3"/>
      <c r="U52" s="47" t="s">
        <v>70</v>
      </c>
    </row>
    <row r="53" spans="1:21" ht="15" customHeight="1" x14ac:dyDescent="0.3">
      <c r="C53" s="21">
        <f>IF(DAY(NovNed1)=1,IF(AND(YEAR(NovNed1+15)=KalendárnyRok,MONTH(NovNed1+15)=11),NovNed1+15,""),IF(AND(YEAR(NovNed1+22)=KalendárnyRok,MONTH(NovNed1+22)=11),NovNed1+22,""))</f>
        <v>45250</v>
      </c>
      <c r="D53" s="21">
        <f>IF(DAY(NovNed1)=1,IF(AND(YEAR(NovNed1+16)=KalendárnyRok,MONTH(NovNed1+16)=11),NovNed1+16,""),IF(AND(YEAR(NovNed1+23)=KalendárnyRok,MONTH(NovNed1+23)=11),NovNed1+23,""))</f>
        <v>45251</v>
      </c>
      <c r="E53" s="21">
        <f>IF(DAY(NovNed1)=1,IF(AND(YEAR(NovNed1+17)=KalendárnyRok,MONTH(NovNed1+17)=11),NovNed1+17,""),IF(AND(YEAR(NovNed1+24)=KalendárnyRok,MONTH(NovNed1+24)=11),NovNed1+24,""))</f>
        <v>45252</v>
      </c>
      <c r="F53" s="25">
        <f>IF(DAY(NovNed1)=1,IF(AND(YEAR(NovNed1+18)=KalendárnyRok,MONTH(NovNed1+18)=11),NovNed1+18,""),IF(AND(YEAR(NovNed1+25)=KalendárnyRok,MONTH(NovNed1+25)=11),NovNed1+25,""))</f>
        <v>45253</v>
      </c>
      <c r="G53" s="21">
        <f>IF(DAY(NovNed1)=1,IF(AND(YEAR(NovNed1+19)=KalendárnyRok,MONTH(NovNed1+19)=11),NovNed1+19,""),IF(AND(YEAR(NovNed1+26)=KalendárnyRok,MONTH(NovNed1+26)=11),NovNed1+26,""))</f>
        <v>45254</v>
      </c>
      <c r="H53" s="21">
        <f>IF(DAY(NovNed1)=1,IF(AND(YEAR(NovNed1+20)=KalendárnyRok,MONTH(NovNed1+20)=11),NovNed1+20,""),IF(AND(YEAR(NovNed1+27)=KalendárnyRok,MONTH(NovNed1+27)=11),NovNed1+27,""))</f>
        <v>45255</v>
      </c>
      <c r="I53" s="21">
        <f>IF(DAY(NovNed1)=1,IF(AND(YEAR(NovNed1+21)=KalendárnyRok,MONTH(NovNed1+21)=11),NovNed1+21,""),IF(AND(YEAR(NovNed1+28)=KalendárnyRok,MONTH(NovNed1+28)=11),NovNed1+28,""))</f>
        <v>45256</v>
      </c>
      <c r="K53" s="21">
        <f>IF(DAY(DecNed1)=1,IF(AND(YEAR(DecNed1+15)=KalendárnyRok,MONTH(DecNed1+15)=12),DecNed1+15,""),IF(AND(YEAR(DecNed1+22)=KalendárnyRok,MONTH(DecNed1+22)=12),DecNed1+22,""))</f>
        <v>45278</v>
      </c>
      <c r="L53" s="21">
        <f>IF(DAY(DecNed1)=1,IF(AND(YEAR(DecNed1+16)=KalendárnyRok,MONTH(DecNed1+16)=12),DecNed1+16,""),IF(AND(YEAR(DecNed1+23)=KalendárnyRok,MONTH(DecNed1+23)=12),DecNed1+23,""))</f>
        <v>45279</v>
      </c>
      <c r="M53" s="21">
        <f>IF(DAY(DecNed1)=1,IF(AND(YEAR(DecNed1+17)=KalendárnyRok,MONTH(DecNed1+17)=12),DecNed1+17,""),IF(AND(YEAR(DecNed1+24)=KalendárnyRok,MONTH(DecNed1+24)=12),DecNed1+24,""))</f>
        <v>45280</v>
      </c>
      <c r="N53" s="25">
        <f>IF(DAY(DecNed1)=1,IF(AND(YEAR(DecNed1+18)=KalendárnyRok,MONTH(DecNed1+18)=12),DecNed1+18,""),IF(AND(YEAR(DecNed1+25)=KalendárnyRok,MONTH(DecNed1+25)=12),DecNed1+25,""))</f>
        <v>45281</v>
      </c>
      <c r="O53" s="21">
        <f>IF(DAY(DecNed1)=1,IF(AND(YEAR(DecNed1+19)=KalendárnyRok,MONTH(DecNed1+19)=12),DecNed1+19,""),IF(AND(YEAR(DecNed1+26)=KalendárnyRok,MONTH(DecNed1+26)=12),DecNed1+26,""))</f>
        <v>45282</v>
      </c>
      <c r="P53" s="21">
        <f>IF(DAY(DecNed1)=1,IF(AND(YEAR(DecNed1+20)=KalendárnyRok,MONTH(DecNed1+20)=12),DecNed1+20,""),IF(AND(YEAR(DecNed1+27)=KalendárnyRok,MONTH(DecNed1+27)=12),DecNed1+27,""))</f>
        <v>45283</v>
      </c>
      <c r="Q53" s="21">
        <f>IF(DAY(DecNed1)=1,IF(AND(YEAR(DecNed1+21)=KalendárnyRok,MONTH(DecNed1+21)=12),DecNed1+21,""),IF(AND(YEAR(DecNed1+28)=KalendárnyRok,MONTH(DecNed1+28)=12),DecNed1+28,""))</f>
        <v>45284</v>
      </c>
      <c r="S53" s="3"/>
      <c r="U53" s="20"/>
    </row>
    <row r="54" spans="1:21" ht="15" customHeight="1" x14ac:dyDescent="0.2">
      <c r="C54" s="21">
        <f>IF(DAY(NovNed1)=1,IF(AND(YEAR(NovNed1+22)=KalendárnyRok,MONTH(NovNed1+22)=11),NovNed1+22,""),IF(AND(YEAR(NovNed1+29)=KalendárnyRok,MONTH(NovNed1+29)=11),NovNed1+29,""))</f>
        <v>45257</v>
      </c>
      <c r="D54" s="21">
        <f>IF(DAY(NovNed1)=1,IF(AND(YEAR(NovNed1+23)=KalendárnyRok,MONTH(NovNed1+23)=11),NovNed1+23,""),IF(AND(YEAR(NovNed1+30)=KalendárnyRok,MONTH(NovNed1+30)=11),NovNed1+30,""))</f>
        <v>45258</v>
      </c>
      <c r="E54" s="21">
        <f>IF(DAY(NovNed1)=1,IF(AND(YEAR(NovNed1+24)=KalendárnyRok,MONTH(NovNed1+24)=11),NovNed1+24,""),IF(AND(YEAR(NovNed1+31)=KalendárnyRok,MONTH(NovNed1+31)=11),NovNed1+31,""))</f>
        <v>45259</v>
      </c>
      <c r="F54" s="21">
        <f>IF(DAY(NovNed1)=1,IF(AND(YEAR(NovNed1+25)=KalendárnyRok,MONTH(NovNed1+25)=11),NovNed1+25,""),IF(AND(YEAR(NovNed1+32)=KalendárnyRok,MONTH(NovNed1+32)=11),NovNed1+32,""))</f>
        <v>45260</v>
      </c>
      <c r="G54" s="21" t="str">
        <f>IF(DAY(NovNed1)=1,IF(AND(YEAR(NovNed1+26)=KalendárnyRok,MONTH(NovNed1+26)=11),NovNed1+26,""),IF(AND(YEAR(NovNed1+33)=KalendárnyRok,MONTH(NovNed1+33)=11),NovNed1+33,""))</f>
        <v/>
      </c>
      <c r="H54" s="21" t="str">
        <f>IF(DAY(NovNed1)=1,IF(AND(YEAR(NovNed1+27)=KalendárnyRok,MONTH(NovNed1+27)=11),NovNed1+27,""),IF(AND(YEAR(NovNed1+34)=KalendárnyRok,MONTH(NovNed1+34)=11),NovNed1+34,""))</f>
        <v/>
      </c>
      <c r="I54" s="21" t="str">
        <f>IF(DAY(NovNed1)=1,IF(AND(YEAR(NovNed1+28)=KalendárnyRok,MONTH(NovNed1+28)=11),NovNed1+28,""),IF(AND(YEAR(NovNed1+35)=KalendárnyRok,MONTH(NovNed1+35)=11),NovNed1+35,""))</f>
        <v/>
      </c>
      <c r="K54" s="21">
        <f>IF(DAY(DecNed1)=1,IF(AND(YEAR(DecNed1+22)=KalendárnyRok,MONTH(DecNed1+22)=12),DecNed1+22,""),IF(AND(YEAR(DecNed1+29)=KalendárnyRok,MONTH(DecNed1+29)=12),DecNed1+29,""))</f>
        <v>45285</v>
      </c>
      <c r="L54" s="21">
        <f>IF(DAY(DecNed1)=1,IF(AND(YEAR(DecNed1+23)=KalendárnyRok,MONTH(DecNed1+23)=12),DecNed1+23,""),IF(AND(YEAR(DecNed1+30)=KalendárnyRok,MONTH(DecNed1+30)=12),DecNed1+30,""))</f>
        <v>45286</v>
      </c>
      <c r="M54" s="21">
        <f>IF(DAY(DecNed1)=1,IF(AND(YEAR(DecNed1+24)=KalendárnyRok,MONTH(DecNed1+24)=12),DecNed1+24,""),IF(AND(YEAR(DecNed1+31)=KalendárnyRok,MONTH(DecNed1+31)=12),DecNed1+31,""))</f>
        <v>45287</v>
      </c>
      <c r="N54" s="21">
        <f>IF(DAY(DecNed1)=1,IF(AND(YEAR(DecNed1+25)=KalendárnyRok,MONTH(DecNed1+25)=12),DecNed1+25,""),IF(AND(YEAR(DecNed1+32)=KalendárnyRok,MONTH(DecNed1+32)=12),DecNed1+32,""))</f>
        <v>45288</v>
      </c>
      <c r="O54" s="21">
        <f>IF(DAY(DecNed1)=1,IF(AND(YEAR(DecNed1+26)=KalendárnyRok,MONTH(DecNed1+26)=12),DecNed1+26,""),IF(AND(YEAR(DecNed1+33)=KalendárnyRok,MONTH(DecNed1+33)=12),DecNed1+33,""))</f>
        <v>45289</v>
      </c>
      <c r="P54" s="21">
        <f>IF(DAY(DecNed1)=1,IF(AND(YEAR(DecNed1+27)=KalendárnyRok,MONTH(DecNed1+27)=12),DecNed1+27,""),IF(AND(YEAR(DecNed1+34)=KalendárnyRok,MONTH(DecNed1+34)=12),DecNed1+34,""))</f>
        <v>45290</v>
      </c>
      <c r="Q54" s="21">
        <f>IF(DAY(DecNed1)=1,IF(AND(YEAR(DecNed1+28)=KalendárnyRok,MONTH(DecNed1+28)=12),DecNed1+28,""),IF(AND(YEAR(DecNed1+35)=KalendárnyRok,MONTH(DecNed1+35)=12),DecNed1+35,""))</f>
        <v>45291</v>
      </c>
      <c r="S54" s="3"/>
      <c r="U54" s="20"/>
    </row>
    <row r="55" spans="1:21" ht="15" customHeight="1" x14ac:dyDescent="0.2">
      <c r="C55" s="21" t="str">
        <f>IF(DAY(NovNed1)=1,IF(AND(YEAR(NovNed1+29)=KalendárnyRok,MONTH(NovNed1+29)=11),NovNed1+29,""),IF(AND(YEAR(NovNed1+36)=KalendárnyRok,MONTH(NovNed1+36)=11),NovNed1+36,""))</f>
        <v/>
      </c>
      <c r="D55" s="21" t="str">
        <f>IF(DAY(NovNed1)=1,IF(AND(YEAR(NovNed1+30)=KalendárnyRok,MONTH(NovNed1+30)=11),NovNed1+30,""),IF(AND(YEAR(NovNed1+37)=KalendárnyRok,MONTH(NovNed1+37)=11),NovNed1+37,""))</f>
        <v/>
      </c>
      <c r="E55" s="21" t="str">
        <f>IF(DAY(NovNed1)=1,IF(AND(YEAR(NovNed1+31)=KalendárnyRok,MONTH(NovNed1+31)=11),NovNed1+31,""),IF(AND(YEAR(NovNed1+38)=KalendárnyRok,MONTH(NovNed1+38)=11),NovNed1+38,""))</f>
        <v/>
      </c>
      <c r="F55" s="21" t="str">
        <f>IF(DAY(NovNed1)=1,IF(AND(YEAR(NovNed1+32)=KalendárnyRok,MONTH(NovNed1+32)=11),NovNed1+32,""),IF(AND(YEAR(NovNed1+39)=KalendárnyRok,MONTH(NovNed1+39)=11),NovNed1+39,""))</f>
        <v/>
      </c>
      <c r="G55" s="21" t="str">
        <f>IF(DAY(NovNed1)=1,IF(AND(YEAR(NovNed1+33)=KalendárnyRok,MONTH(NovNed1+33)=11),NovNed1+33,""),IF(AND(YEAR(NovNed1+40)=KalendárnyRok,MONTH(NovNed1+40)=11),NovNed1+40,""))</f>
        <v/>
      </c>
      <c r="H55" s="21" t="str">
        <f>IF(DAY(NovNed1)=1,IF(AND(YEAR(NovNed1+34)=KalendárnyRok,MONTH(NovNed1+34)=11),NovNed1+34,""),IF(AND(YEAR(NovNed1+41)=KalendárnyRok,MONTH(NovNed1+41)=11),NovNed1+41,""))</f>
        <v/>
      </c>
      <c r="I55" s="21" t="str">
        <f>IF(DAY(NovNed1)=1,IF(AND(YEAR(NovNed1+35)=KalendárnyRok,MONTH(NovNed1+35)=11),NovNed1+35,""),IF(AND(YEAR(NovNed1+42)=KalendárnyRok,MONTH(NovNed1+42)=11),NovNed1+42,""))</f>
        <v/>
      </c>
      <c r="K55" s="21" t="str">
        <f>IF(DAY(DecNed1)=1,IF(AND(YEAR(DecNed1+29)=KalendárnyRok,MONTH(DecNed1+29)=12),DecNed1+29,""),IF(AND(YEAR(DecNed1+36)=KalendárnyRok,MONTH(DecNed1+36)=12),DecNed1+36,""))</f>
        <v/>
      </c>
      <c r="L55" s="21" t="str">
        <f>IF(DAY(DecNed1)=1,IF(AND(YEAR(DecNed1+30)=KalendárnyRok,MONTH(DecNed1+30)=12),DecNed1+30,""),IF(AND(YEAR(DecNed1+37)=KalendárnyRok,MONTH(DecNed1+37)=12),DecNed1+37,""))</f>
        <v/>
      </c>
      <c r="M55" s="21" t="str">
        <f>IF(DAY(DecNed1)=1,IF(AND(YEAR(DecNed1+31)=KalendárnyRok,MONTH(DecNed1+31)=12),DecNed1+31,""),IF(AND(YEAR(DecNed1+38)=KalendárnyRok,MONTH(DecNed1+38)=12),DecNed1+38,""))</f>
        <v/>
      </c>
      <c r="N55" s="21" t="str">
        <f>IF(DAY(DecNed1)=1,IF(AND(YEAR(DecNed1+32)=KalendárnyRok,MONTH(DecNed1+32)=12),DecNed1+32,""),IF(AND(YEAR(DecNed1+39)=KalendárnyRok,MONTH(DecNed1+39)=12),DecNed1+39,""))</f>
        <v/>
      </c>
      <c r="O55" s="21" t="str">
        <f>IF(DAY(DecNed1)=1,IF(AND(YEAR(DecNed1+33)=KalendárnyRok,MONTH(DecNed1+33)=12),DecNed1+33,""),IF(AND(YEAR(DecNed1+40)=KalendárnyRok,MONTH(DecNed1+40)=12),DecNed1+40,""))</f>
        <v/>
      </c>
      <c r="P55" s="21" t="str">
        <f>IF(DAY(DecNed1)=1,IF(AND(YEAR(DecNed1+34)=KalendárnyRok,MONTH(DecNed1+34)=12),DecNed1+34,""),IF(AND(YEAR(DecNed1+41)=KalendárnyRok,MONTH(DecNed1+41)=12),DecNed1+41,""))</f>
        <v/>
      </c>
      <c r="Q55" s="21" t="str">
        <f>IF(DAY(DecNed1)=1,IF(AND(YEAR(DecNed1+35)=KalendárnyRok,MONTH(DecNed1+35)=12),DecNed1+35,""),IF(AND(YEAR(DecNed1+42)=KalendárnyRok,MONTH(DecNed1+42)=12),DecNed1+42,""))</f>
        <v/>
      </c>
      <c r="S55" s="3"/>
      <c r="U55" s="20"/>
    </row>
    <row r="56" spans="1:21" ht="15" customHeight="1" x14ac:dyDescent="0.2">
      <c r="U56" s="4"/>
    </row>
    <row r="57" spans="1:21" ht="15" customHeight="1" x14ac:dyDescent="0.2">
      <c r="U57" s="4"/>
    </row>
    <row r="58" spans="1:21" ht="15" customHeight="1" x14ac:dyDescent="0.2"/>
    <row r="59" spans="1:21" ht="15" customHeight="1" x14ac:dyDescent="0.2"/>
    <row r="60" spans="1:21" ht="15" customHeight="1" x14ac:dyDescent="0.2"/>
    <row r="61" spans="1:21" ht="15" customHeight="1" x14ac:dyDescent="0.2"/>
    <row r="62" spans="1:21" ht="15" customHeight="1" x14ac:dyDescent="0.2"/>
    <row r="63" spans="1:21" ht="15" customHeight="1" x14ac:dyDescent="0.2"/>
    <row r="64" spans="1:21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</sheetData>
  <mergeCells count="13">
    <mergeCell ref="C1:F1"/>
    <mergeCell ref="C3:I3"/>
    <mergeCell ref="K3:Q3"/>
    <mergeCell ref="C39:I39"/>
    <mergeCell ref="K39:Q39"/>
    <mergeCell ref="C48:I48"/>
    <mergeCell ref="K48:Q48"/>
    <mergeCell ref="C12:I12"/>
    <mergeCell ref="K12:Q12"/>
    <mergeCell ref="C21:I21"/>
    <mergeCell ref="K21:Q21"/>
    <mergeCell ref="C30:I30"/>
    <mergeCell ref="K30:Q30"/>
  </mergeCells>
  <phoneticPr fontId="4" type="noConversion"/>
  <dataValidations count="1">
    <dataValidation allowBlank="1" showInputMessage="1" showErrorMessage="1" errorTitle="Neplatný rok" error="Zadajte rok v rozsahu 1900 až 9999 alebo rok vyhľadajte pomocou posúvača." sqref="C1" xr:uid="{00000000-0002-0000-0000-000000000000}"/>
  </dataValidations>
  <printOptions horizontalCentered="1" verticalCentered="1"/>
  <pageMargins left="0" right="0" top="0.51181102362204722" bottom="0.51181102362204722" header="0.31496062992125984" footer="0.31496062992125984"/>
  <pageSetup paperSize="9" scale="8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3" r:id="rId4" name="Číselník">
              <controlPr defaultSize="0" print="0" autoPict="0" altText="Zmeňte kalendárny rok pomocou číselníka alebo zadajte požadovaný rok do bunky C1.">
                <anchor moveWithCells="1">
                  <from>
                    <xdr:col>1</xdr:col>
                    <xdr:colOff>114300</xdr:colOff>
                    <xdr:row>0</xdr:row>
                    <xdr:rowOff>38100</xdr:rowOff>
                  </from>
                  <to>
                    <xdr:col>2</xdr:col>
                    <xdr:colOff>152400</xdr:colOff>
                    <xdr:row>0</xdr:row>
                    <xdr:rowOff>342900</xdr:rowOff>
                  </to>
                </anchor>
              </controlPr>
            </control>
          </mc:Choice>
        </mc:AlternateContent>
      </controls>
    </mc:Choice>
  </mc:AlternateContent>
  <tableParts count="12"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TM16410228</Template>
  <TotalTime>0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2</vt:i4>
      </vt:variant>
    </vt:vector>
  </HeadingPairs>
  <TitlesOfParts>
    <vt:vector size="3" baseType="lpstr">
      <vt:lpstr>Ročný kalendár</vt:lpstr>
      <vt:lpstr>KalendárnyRok</vt:lpstr>
      <vt:lpstr>'Ročný kalendár'!Oblasť_tlače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2022-01-03T23:06:45Z</dcterms:created>
  <dcterms:modified xsi:type="dcterms:W3CDTF">2023-03-08T11:45:10Z</dcterms:modified>
</cp:coreProperties>
</file>